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omments28.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8"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统计" sheetId="81" r:id="rId14"/>
    <sheet name="PPT" sheetId="96" r:id="rId15"/>
    <sheet name="销售明细表-未售银煌A2南区" sheetId="85" r:id="rId16"/>
    <sheet name="A2地块一期全部房源清单" sheetId="82" state="hidden" r:id="rId17"/>
    <sheet name="数据-汇总表" sheetId="6" r:id="rId18"/>
    <sheet name="数据-取费表" sheetId="1" r:id="rId19"/>
    <sheet name="估价对象房地状况" sheetId="20" state="hidden" r:id="rId20"/>
    <sheet name="系统读取表" sheetId="74" r:id="rId21"/>
    <sheet name="结果表" sheetId="9" r:id="rId22"/>
    <sheet name="比较法-住宅" sheetId="21" r:id="rId23"/>
    <sheet name="成本法" sheetId="68" r:id="rId24"/>
    <sheet name="土地比较法-住宅、综合" sheetId="39" r:id="rId25"/>
    <sheet name="成本法 (元)" sheetId="69" state="hidden" r:id="rId26"/>
    <sheet name="假设开发法" sheetId="12" state="hidden" r:id="rId27"/>
    <sheet name="土地案例" sheetId="84" r:id="rId28"/>
    <sheet name="收益法" sheetId="15" state="hidden"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结果表-商业" sheetId="88" r:id="rId40"/>
    <sheet name="成本法-商业" sheetId="89" r:id="rId41"/>
    <sheet name="收益法-商业" sheetId="87" r:id="rId42"/>
    <sheet name="结果表-地下车库" sheetId="90" state="hidden" r:id="rId43"/>
    <sheet name="成本法-地下车库" sheetId="91" state="hidden" r:id="rId44"/>
    <sheet name="收益法-地下车库" sheetId="92" state="hidden" r:id="rId45"/>
    <sheet name="市调" sheetId="86" r:id="rId46"/>
    <sheet name="住宅" sheetId="80"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 name="租房" sheetId="83" r:id="rId59"/>
    <sheet name="商业" sheetId="94" r:id="rId60"/>
    <sheet name="车位" sheetId="95"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_FilterDatabase" localSheetId="15" hidden="1">'销售明细表-未售银煌A2南区'!$A$2:$AU$111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2">'比较法-住宅'!$A$1:$K$54,'比较法-住宅'!$A$57:$M$131</definedName>
    <definedName name="_xlnm.Print_Area" localSheetId="23">成本法!$A$1:$G$57</definedName>
    <definedName name="_xlnm.Print_Area" localSheetId="25">'成本法 (元)'!$A$1:$G$57</definedName>
    <definedName name="_xlnm.Print_Area" localSheetId="43">'成本法-地下车库'!$A$1:$G$57</definedName>
    <definedName name="_xlnm.Print_Area" localSheetId="40">'成本法-商业'!$A$1:$G$57</definedName>
    <definedName name="_xlnm.Print_Area" localSheetId="19">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26">假设开发法!$A$1:$K$32</definedName>
    <definedName name="_xlnm.Print_Area" localSheetId="21">结果表!$A$1:$I$127</definedName>
    <definedName name="_xlnm.Print_Area" localSheetId="42">'结果表-地下车库'!$A$1:$I$127</definedName>
    <definedName name="_xlnm.Print_Area" localSheetId="39">'结果表-商业'!$A$1:$I$127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44">'收益法-地下车库'!$A$1:$F$43,'收益法-地下车库'!$H$3:$M$29,'收益法-地下车库'!$A$46:$F$71,'收益法-地下车库'!$I$46:$N$65</definedName>
    <definedName name="_xlnm.Print_Area" localSheetId="41">'收益法-商业'!$A$1:$F$43,'收益法-商业'!$H$3:$M$29,'收益法-商业'!$A$46:$F$71,'收益法-商业'!$I$46:$N$65</definedName>
    <definedName name="_xlnm.Print_Area" localSheetId="17">'数据-汇总表'!$A$1:$P$32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20">系统读取表!$A$1:$I$26</definedName>
    <definedName name="_xlnm.Print_Area" localSheetId="11">项目基本情况!$A$1:$I$38</definedName>
    <definedName name="_xlnm.Print_Titles" localSheetId="16">A2地块一期全部房源清单!$1:$7</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8" i="74" l="1"/>
  <c r="B18" i="74"/>
  <c r="D18" i="74" l="1"/>
  <c r="B17" i="74" l="1"/>
  <c r="D17" i="74" l="1"/>
  <c r="C16" i="74" l="1"/>
  <c r="B16" i="74"/>
  <c r="B15" i="3" l="1"/>
  <c r="N111" i="85" l="1"/>
  <c r="R168" i="96" l="1"/>
  <c r="Q168" i="96"/>
  <c r="P168" i="96"/>
  <c r="O168" i="96"/>
  <c r="N168" i="96"/>
  <c r="M168" i="96"/>
  <c r="L168" i="96"/>
  <c r="K168" i="96"/>
  <c r="J168" i="96"/>
  <c r="I168" i="96"/>
  <c r="H168" i="96"/>
  <c r="G168" i="96"/>
  <c r="F168" i="96"/>
  <c r="F169" i="96" s="1"/>
  <c r="R167" i="96"/>
  <c r="Q167" i="96"/>
  <c r="P167" i="96"/>
  <c r="O167" i="96"/>
  <c r="N167" i="96"/>
  <c r="M167" i="96"/>
  <c r="L167" i="96"/>
  <c r="K167" i="96"/>
  <c r="J167" i="96"/>
  <c r="I167" i="96"/>
  <c r="H167" i="96"/>
  <c r="G167" i="96"/>
  <c r="F167" i="96"/>
  <c r="R166" i="96"/>
  <c r="Q166" i="96"/>
  <c r="P166" i="96"/>
  <c r="O166" i="96"/>
  <c r="N166" i="96"/>
  <c r="M166" i="96"/>
  <c r="L166" i="96"/>
  <c r="K166" i="96"/>
  <c r="J166" i="96"/>
  <c r="I166" i="96"/>
  <c r="H166" i="96"/>
  <c r="G166" i="96"/>
  <c r="F166" i="96"/>
  <c r="R165" i="96"/>
  <c r="Q165" i="96"/>
  <c r="P165" i="96"/>
  <c r="O165" i="96"/>
  <c r="N165" i="96"/>
  <c r="M165" i="96"/>
  <c r="L165" i="96"/>
  <c r="K165" i="96"/>
  <c r="J165" i="96"/>
  <c r="I165" i="96"/>
  <c r="H165" i="96"/>
  <c r="G165" i="96"/>
  <c r="F165" i="96"/>
  <c r="R164" i="96"/>
  <c r="Q164" i="96"/>
  <c r="P164" i="96"/>
  <c r="O164" i="96"/>
  <c r="N164" i="96"/>
  <c r="M164" i="96"/>
  <c r="L164" i="96"/>
  <c r="K164" i="96"/>
  <c r="J164" i="96"/>
  <c r="I164" i="96"/>
  <c r="H164" i="96"/>
  <c r="G164" i="96"/>
  <c r="F164" i="96"/>
  <c r="R163" i="96"/>
  <c r="Q163" i="96"/>
  <c r="P163" i="96"/>
  <c r="O163" i="96"/>
  <c r="N163" i="96"/>
  <c r="M163" i="96"/>
  <c r="L163" i="96"/>
  <c r="K163" i="96"/>
  <c r="J163" i="96"/>
  <c r="I163" i="96"/>
  <c r="H163" i="96"/>
  <c r="G163" i="96"/>
  <c r="F163" i="96"/>
  <c r="R162" i="96"/>
  <c r="Q162" i="96"/>
  <c r="P162" i="96"/>
  <c r="O162" i="96"/>
  <c r="N162" i="96"/>
  <c r="M162" i="96"/>
  <c r="L162" i="96"/>
  <c r="K162" i="96"/>
  <c r="J162" i="96"/>
  <c r="I162" i="96"/>
  <c r="H162" i="96"/>
  <c r="G162" i="96"/>
  <c r="F162" i="96"/>
  <c r="R161" i="96"/>
  <c r="Q161" i="96"/>
  <c r="P161" i="96"/>
  <c r="O161" i="96"/>
  <c r="N161" i="96"/>
  <c r="M161" i="96"/>
  <c r="L161" i="96"/>
  <c r="K161" i="96"/>
  <c r="J161" i="96"/>
  <c r="I161" i="96"/>
  <c r="H161" i="96"/>
  <c r="G161" i="96"/>
  <c r="F161" i="96"/>
  <c r="R160" i="96"/>
  <c r="Q160" i="96"/>
  <c r="P160" i="96"/>
  <c r="O160" i="96"/>
  <c r="N160" i="96"/>
  <c r="M160" i="96"/>
  <c r="L160" i="96"/>
  <c r="K160" i="96"/>
  <c r="J160" i="96"/>
  <c r="I160" i="96"/>
  <c r="H160" i="96"/>
  <c r="G160" i="96"/>
  <c r="F160" i="96"/>
  <c r="R159" i="96"/>
  <c r="Q159" i="96"/>
  <c r="P159" i="96"/>
  <c r="O159" i="96"/>
  <c r="N159" i="96"/>
  <c r="M159" i="96"/>
  <c r="L159" i="96"/>
  <c r="K159" i="96"/>
  <c r="J159" i="96"/>
  <c r="I159" i="96"/>
  <c r="H159" i="96"/>
  <c r="G159" i="96"/>
  <c r="F159" i="96"/>
  <c r="R158" i="96"/>
  <c r="Q158" i="96"/>
  <c r="P158" i="96"/>
  <c r="O158" i="96"/>
  <c r="N158" i="96"/>
  <c r="M158" i="96"/>
  <c r="L158" i="96"/>
  <c r="K158" i="96"/>
  <c r="J158" i="96"/>
  <c r="I158" i="96"/>
  <c r="H158" i="96"/>
  <c r="G158" i="96"/>
  <c r="F158" i="96"/>
  <c r="R157" i="96"/>
  <c r="Q157" i="96"/>
  <c r="P157" i="96"/>
  <c r="O157" i="96"/>
  <c r="N157" i="96"/>
  <c r="M157" i="96"/>
  <c r="L157" i="96"/>
  <c r="K157" i="96"/>
  <c r="J157" i="96"/>
  <c r="I157" i="96"/>
  <c r="H157" i="96"/>
  <c r="G157" i="96"/>
  <c r="F157" i="96"/>
  <c r="R156" i="96"/>
  <c r="Q156" i="96"/>
  <c r="P156" i="96"/>
  <c r="O156" i="96"/>
  <c r="N156" i="96"/>
  <c r="M156" i="96"/>
  <c r="L156" i="96"/>
  <c r="K156" i="96"/>
  <c r="J156" i="96"/>
  <c r="I156" i="96"/>
  <c r="H156" i="96"/>
  <c r="G156" i="96"/>
  <c r="F156" i="96"/>
  <c r="F150" i="96"/>
  <c r="J150" i="96" s="1"/>
  <c r="E150" i="96"/>
  <c r="I150" i="96" s="1"/>
  <c r="J149" i="96"/>
  <c r="I149" i="96"/>
  <c r="G149" i="96"/>
  <c r="K149" i="96" s="1"/>
  <c r="J148" i="96"/>
  <c r="I148" i="96"/>
  <c r="G148" i="96"/>
  <c r="K148" i="96" s="1"/>
  <c r="J147" i="96"/>
  <c r="I147" i="96"/>
  <c r="G147" i="96"/>
  <c r="K147" i="96" s="1"/>
  <c r="J146" i="96"/>
  <c r="I146" i="96"/>
  <c r="G146" i="96"/>
  <c r="K146" i="96" s="1"/>
  <c r="E117" i="96" s="1"/>
  <c r="J145" i="96"/>
  <c r="I145" i="96"/>
  <c r="G145" i="96"/>
  <c r="K145" i="96" s="1"/>
  <c r="F142" i="96"/>
  <c r="E142" i="96"/>
  <c r="I142" i="96" s="1"/>
  <c r="J141" i="96"/>
  <c r="I141" i="96"/>
  <c r="G141" i="96"/>
  <c r="K141" i="96" s="1"/>
  <c r="J140" i="96"/>
  <c r="I140" i="96"/>
  <c r="G140" i="96"/>
  <c r="K140" i="96" s="1"/>
  <c r="J139" i="96"/>
  <c r="I139" i="96"/>
  <c r="G139" i="96"/>
  <c r="K139" i="96" s="1"/>
  <c r="J138" i="96"/>
  <c r="I138" i="96"/>
  <c r="G138" i="96"/>
  <c r="K138" i="96" s="1"/>
  <c r="J137" i="96"/>
  <c r="I137" i="96"/>
  <c r="G137" i="96"/>
  <c r="K137" i="96" s="1"/>
  <c r="E120" i="96" s="1"/>
  <c r="J136" i="96"/>
  <c r="I136" i="96"/>
  <c r="G136" i="96"/>
  <c r="K136" i="96" s="1"/>
  <c r="I133" i="96"/>
  <c r="F133" i="96"/>
  <c r="G133" i="96" s="1"/>
  <c r="K133" i="96" s="1"/>
  <c r="E113" i="96" s="1"/>
  <c r="E133" i="96"/>
  <c r="J132" i="96"/>
  <c r="I132" i="96"/>
  <c r="G132" i="96"/>
  <c r="K132" i="96" s="1"/>
  <c r="J131" i="96"/>
  <c r="I131" i="96"/>
  <c r="G131" i="96"/>
  <c r="K131" i="96" s="1"/>
  <c r="J130" i="96"/>
  <c r="I130" i="96"/>
  <c r="G130" i="96"/>
  <c r="K130" i="96" s="1"/>
  <c r="J129" i="96"/>
  <c r="I129" i="96"/>
  <c r="G129" i="96"/>
  <c r="K129" i="96" s="1"/>
  <c r="E114" i="96" s="1"/>
  <c r="J128" i="96"/>
  <c r="I128" i="96"/>
  <c r="G128" i="96"/>
  <c r="K128" i="96" s="1"/>
  <c r="H122" i="96"/>
  <c r="G122" i="96"/>
  <c r="D120" i="96"/>
  <c r="H119" i="96"/>
  <c r="H121" i="96" s="1"/>
  <c r="G119" i="96"/>
  <c r="G121" i="96" s="1"/>
  <c r="D119" i="96"/>
  <c r="D117" i="96"/>
  <c r="H116" i="96"/>
  <c r="H118" i="96" s="1"/>
  <c r="G116" i="96"/>
  <c r="G118" i="96" s="1"/>
  <c r="D116" i="96"/>
  <c r="D114" i="96"/>
  <c r="H113" i="96"/>
  <c r="H115" i="96" s="1"/>
  <c r="G113" i="96"/>
  <c r="G115" i="96" s="1"/>
  <c r="D113" i="96"/>
  <c r="H107" i="96"/>
  <c r="J91" i="96"/>
  <c r="I91" i="96"/>
  <c r="H91" i="96"/>
  <c r="G91" i="96"/>
  <c r="F91" i="96"/>
  <c r="E91" i="96"/>
  <c r="D91" i="96"/>
  <c r="J90" i="96"/>
  <c r="I90" i="96"/>
  <c r="I107" i="96" s="1"/>
  <c r="H90" i="96"/>
  <c r="G90" i="96"/>
  <c r="F90" i="96"/>
  <c r="E90" i="96"/>
  <c r="D90" i="96"/>
  <c r="J89" i="96"/>
  <c r="I89" i="96"/>
  <c r="H89" i="96"/>
  <c r="G89" i="96"/>
  <c r="F89" i="96"/>
  <c r="E89" i="96"/>
  <c r="D89" i="96"/>
  <c r="J88" i="96"/>
  <c r="I88" i="96"/>
  <c r="I105" i="96" s="1"/>
  <c r="H88" i="96"/>
  <c r="H105" i="96" s="1"/>
  <c r="G88" i="96"/>
  <c r="F88" i="96"/>
  <c r="E88" i="96"/>
  <c r="D88" i="96"/>
  <c r="J87" i="96"/>
  <c r="J86" i="96" s="1"/>
  <c r="I87" i="96"/>
  <c r="H87" i="96"/>
  <c r="G87" i="96"/>
  <c r="F87" i="96"/>
  <c r="E87" i="96"/>
  <c r="D87" i="96"/>
  <c r="J83" i="96"/>
  <c r="J82" i="96"/>
  <c r="J81" i="96"/>
  <c r="J80" i="96"/>
  <c r="J79" i="96"/>
  <c r="J78" i="96"/>
  <c r="J77" i="96"/>
  <c r="J76" i="96"/>
  <c r="J74" i="96"/>
  <c r="J108" i="96" s="1"/>
  <c r="I74" i="96"/>
  <c r="H74" i="96"/>
  <c r="H108" i="96" s="1"/>
  <c r="G74" i="96"/>
  <c r="F74" i="96"/>
  <c r="F108" i="96" s="1"/>
  <c r="E74" i="96"/>
  <c r="D74" i="96"/>
  <c r="J73" i="96"/>
  <c r="G73" i="96"/>
  <c r="G107" i="96" s="1"/>
  <c r="F73" i="96"/>
  <c r="E73" i="96"/>
  <c r="D73" i="96"/>
  <c r="J72" i="96"/>
  <c r="J106" i="96" s="1"/>
  <c r="I72" i="96"/>
  <c r="H72" i="96"/>
  <c r="G72" i="96"/>
  <c r="G106" i="96" s="1"/>
  <c r="F72" i="96"/>
  <c r="F106" i="96" s="1"/>
  <c r="E72" i="96"/>
  <c r="D72" i="96"/>
  <c r="G71" i="96"/>
  <c r="F71" i="96"/>
  <c r="F105" i="96" s="1"/>
  <c r="E71" i="96"/>
  <c r="D71" i="96"/>
  <c r="J70" i="96"/>
  <c r="I70" i="96"/>
  <c r="I69" i="96" s="1"/>
  <c r="H70" i="96"/>
  <c r="G70" i="96"/>
  <c r="F70" i="96"/>
  <c r="E70" i="96"/>
  <c r="E69" i="96" s="1"/>
  <c r="D70" i="96"/>
  <c r="E45" i="96"/>
  <c r="F45" i="96" s="1"/>
  <c r="G44" i="96"/>
  <c r="E44" i="96"/>
  <c r="F44" i="96" s="1"/>
  <c r="I44" i="96" s="1"/>
  <c r="G43" i="96"/>
  <c r="E43" i="96"/>
  <c r="F43" i="96" s="1"/>
  <c r="I43" i="96" s="1"/>
  <c r="G42" i="96"/>
  <c r="E42" i="96"/>
  <c r="F42" i="96" s="1"/>
  <c r="I42" i="96" s="1"/>
  <c r="L41" i="96"/>
  <c r="L39" i="96" s="1"/>
  <c r="G41" i="96"/>
  <c r="E41" i="96"/>
  <c r="F41" i="96" s="1"/>
  <c r="I41" i="96" s="1"/>
  <c r="G40" i="96"/>
  <c r="E40" i="96"/>
  <c r="M39" i="96"/>
  <c r="G34" i="96"/>
  <c r="L29" i="96"/>
  <c r="E29" i="96"/>
  <c r="H28" i="96"/>
  <c r="H35" i="96" s="1"/>
  <c r="G28" i="96"/>
  <c r="G35" i="96" s="1"/>
  <c r="F21" i="96"/>
  <c r="D21" i="96"/>
  <c r="G21" i="96" s="1"/>
  <c r="L33" i="96" s="1"/>
  <c r="E33" i="96" s="1"/>
  <c r="C21" i="96"/>
  <c r="F20" i="96"/>
  <c r="D20" i="96"/>
  <c r="G20" i="96" s="1"/>
  <c r="L32" i="96" s="1"/>
  <c r="E32" i="96" s="1"/>
  <c r="C20" i="96"/>
  <c r="C19" i="96"/>
  <c r="C18" i="96"/>
  <c r="H15" i="96"/>
  <c r="D15" i="96"/>
  <c r="I14" i="96"/>
  <c r="E14" i="96"/>
  <c r="G14" i="96" s="1"/>
  <c r="E13" i="96"/>
  <c r="G13" i="96" s="1"/>
  <c r="G12" i="96"/>
  <c r="F12" i="96"/>
  <c r="F15" i="96" s="1"/>
  <c r="K6" i="96"/>
  <c r="K7" i="96" s="1"/>
  <c r="I6" i="96"/>
  <c r="I5" i="96"/>
  <c r="I7" i="96" s="1"/>
  <c r="H5" i="96"/>
  <c r="H7" i="96" s="1"/>
  <c r="G5" i="96"/>
  <c r="F27" i="96" s="1"/>
  <c r="F34" i="96" s="1"/>
  <c r="F5" i="96"/>
  <c r="F26" i="96" s="1"/>
  <c r="D5" i="96"/>
  <c r="D7" i="96" s="1"/>
  <c r="E164" i="96" l="1"/>
  <c r="G105" i="96"/>
  <c r="G86" i="96"/>
  <c r="E115" i="96"/>
  <c r="E39" i="96"/>
  <c r="D105" i="96"/>
  <c r="H106" i="96"/>
  <c r="E107" i="96"/>
  <c r="H86" i="96"/>
  <c r="F86" i="96"/>
  <c r="D118" i="96"/>
  <c r="J42" i="96"/>
  <c r="N42" i="96" s="1"/>
  <c r="I108" i="96"/>
  <c r="J133" i="96"/>
  <c r="D104" i="96"/>
  <c r="D86" i="96"/>
  <c r="K89" i="96"/>
  <c r="E156" i="96"/>
  <c r="E162" i="96"/>
  <c r="E163" i="96"/>
  <c r="E158" i="96"/>
  <c r="E168" i="96"/>
  <c r="E169" i="96" s="1"/>
  <c r="D108" i="96"/>
  <c r="E166" i="96"/>
  <c r="J41" i="96"/>
  <c r="N41" i="96" s="1"/>
  <c r="E160" i="96"/>
  <c r="H41" i="96"/>
  <c r="L5" i="96"/>
  <c r="D18" i="96" s="1"/>
  <c r="F40" i="96"/>
  <c r="I40" i="96" s="1"/>
  <c r="G69" i="96"/>
  <c r="G103" i="96" s="1"/>
  <c r="F69" i="96"/>
  <c r="K73" i="96"/>
  <c r="J107" i="96"/>
  <c r="G108" i="96"/>
  <c r="K88" i="96"/>
  <c r="H104" i="96"/>
  <c r="D121" i="96"/>
  <c r="G142" i="96"/>
  <c r="K142" i="96" s="1"/>
  <c r="E119" i="96" s="1"/>
  <c r="E121" i="96" s="1"/>
  <c r="L121" i="96" s="1"/>
  <c r="F121" i="96" s="1"/>
  <c r="G150" i="96"/>
  <c r="K150" i="96" s="1"/>
  <c r="E116" i="96" s="1"/>
  <c r="E118" i="96" s="1"/>
  <c r="L118" i="96" s="1"/>
  <c r="E161" i="96"/>
  <c r="G39" i="96"/>
  <c r="G104" i="96"/>
  <c r="K72" i="96"/>
  <c r="K74" i="96"/>
  <c r="E86" i="96"/>
  <c r="E103" i="96" s="1"/>
  <c r="I86" i="96"/>
  <c r="I103" i="96" s="1"/>
  <c r="K91" i="96"/>
  <c r="L114" i="96"/>
  <c r="F114" i="96" s="1"/>
  <c r="D122" i="96"/>
  <c r="J142" i="96"/>
  <c r="E159" i="96"/>
  <c r="E167" i="96"/>
  <c r="J43" i="96"/>
  <c r="K43" i="96" s="1"/>
  <c r="K70" i="96"/>
  <c r="H69" i="96"/>
  <c r="H103" i="96" s="1"/>
  <c r="E106" i="96"/>
  <c r="I106" i="96"/>
  <c r="F107" i="96"/>
  <c r="K90" i="96"/>
  <c r="D115" i="96"/>
  <c r="L115" i="96" s="1"/>
  <c r="F115" i="96" s="1"/>
  <c r="L117" i="96"/>
  <c r="F117" i="96" s="1"/>
  <c r="E157" i="96"/>
  <c r="E165" i="96"/>
  <c r="G169" i="96"/>
  <c r="H169" i="96" s="1"/>
  <c r="I169" i="96" s="1"/>
  <c r="J169" i="96" s="1"/>
  <c r="K169" i="96" s="1"/>
  <c r="L169" i="96" s="1"/>
  <c r="M169" i="96" s="1"/>
  <c r="N169" i="96" s="1"/>
  <c r="O169" i="96" s="1"/>
  <c r="P169" i="96" s="1"/>
  <c r="Q169" i="96" s="1"/>
  <c r="R169" i="96" s="1"/>
  <c r="H43" i="96"/>
  <c r="L120" i="96"/>
  <c r="F120" i="96" s="1"/>
  <c r="E122" i="96"/>
  <c r="H26" i="96"/>
  <c r="E26" i="96" s="1"/>
  <c r="J40" i="96"/>
  <c r="K41" i="96"/>
  <c r="K42" i="96"/>
  <c r="G15" i="96"/>
  <c r="F118" i="96"/>
  <c r="I45" i="96"/>
  <c r="J45" i="96" s="1"/>
  <c r="H45" i="96"/>
  <c r="F7" i="96"/>
  <c r="E15" i="96"/>
  <c r="D106" i="96"/>
  <c r="D107" i="96"/>
  <c r="L6" i="96"/>
  <c r="G7" i="96"/>
  <c r="F28" i="96"/>
  <c r="F39" i="96"/>
  <c r="H39" i="96" s="1"/>
  <c r="H42" i="96"/>
  <c r="D69" i="96"/>
  <c r="E104" i="96"/>
  <c r="I104" i="96"/>
  <c r="E105" i="96"/>
  <c r="E108" i="96"/>
  <c r="L113" i="96"/>
  <c r="F113" i="96" s="1"/>
  <c r="L116" i="96"/>
  <c r="J71" i="96"/>
  <c r="J105" i="96" s="1"/>
  <c r="K87" i="96"/>
  <c r="F104" i="96"/>
  <c r="J104" i="96"/>
  <c r="F116" i="96"/>
  <c r="E5" i="96"/>
  <c r="F103" i="96" l="1"/>
  <c r="L119" i="96"/>
  <c r="F119" i="96" s="1"/>
  <c r="L122" i="96"/>
  <c r="F122" i="96" s="1"/>
  <c r="K104" i="96"/>
  <c r="N43" i="96"/>
  <c r="K106" i="96"/>
  <c r="K108" i="96"/>
  <c r="K107" i="96"/>
  <c r="J69" i="96"/>
  <c r="J103" i="96" s="1"/>
  <c r="K86" i="96"/>
  <c r="L86" i="96" s="1"/>
  <c r="K71" i="96"/>
  <c r="K105" i="96" s="1"/>
  <c r="H40" i="96"/>
  <c r="E7" i="96"/>
  <c r="J5" i="96"/>
  <c r="L7" i="96"/>
  <c r="L8" i="96" s="1"/>
  <c r="D19" i="96"/>
  <c r="D22" i="96" s="1"/>
  <c r="K45" i="96"/>
  <c r="N45" i="96"/>
  <c r="J6" i="96"/>
  <c r="E19" i="96" s="1"/>
  <c r="F35" i="96"/>
  <c r="E28" i="96"/>
  <c r="D103" i="96"/>
  <c r="I39" i="96"/>
  <c r="K40" i="96"/>
  <c r="J39" i="96"/>
  <c r="N40" i="96"/>
  <c r="N39" i="96" s="1"/>
  <c r="K69" i="96" l="1"/>
  <c r="K103" i="96" s="1"/>
  <c r="L103" i="96" s="1"/>
  <c r="G19" i="96"/>
  <c r="L30" i="96" s="1"/>
  <c r="E30" i="96" s="1"/>
  <c r="E18" i="96"/>
  <c r="G18" i="96" s="1"/>
  <c r="J7" i="96"/>
  <c r="L69" i="96" l="1"/>
  <c r="L34" i="96"/>
  <c r="L35" i="96" s="1"/>
  <c r="E35" i="96" s="1"/>
  <c r="L31" i="96"/>
  <c r="E31" i="96" s="1"/>
  <c r="G22" i="96"/>
  <c r="H27" i="96"/>
  <c r="H34" i="96" l="1"/>
  <c r="E34" i="96" s="1"/>
  <c r="E27" i="96"/>
  <c r="C14" i="74" l="1"/>
  <c r="J18" i="74" l="1"/>
  <c r="Q72" i="92" l="1"/>
  <c r="Q59" i="92"/>
  <c r="K59" i="92"/>
  <c r="P74" i="92" s="1"/>
  <c r="F59" i="92"/>
  <c r="Q58" i="92"/>
  <c r="J52" i="92"/>
  <c r="Q51" i="92"/>
  <c r="J50" i="92"/>
  <c r="J49" i="92"/>
  <c r="M47" i="92"/>
  <c r="D46" i="92"/>
  <c r="F33" i="92"/>
  <c r="F61" i="92" s="1"/>
  <c r="F31" i="92"/>
  <c r="F23" i="92"/>
  <c r="D23" i="92" s="1"/>
  <c r="F21" i="92"/>
  <c r="F20" i="92"/>
  <c r="M19" i="92"/>
  <c r="F18" i="92"/>
  <c r="M17" i="92"/>
  <c r="F17" i="92"/>
  <c r="F15" i="92"/>
  <c r="F38" i="91"/>
  <c r="E37" i="91"/>
  <c r="F36" i="91"/>
  <c r="F35" i="91"/>
  <c r="F21" i="91"/>
  <c r="F40" i="91" s="1"/>
  <c r="F20" i="91"/>
  <c r="F39" i="91" s="1"/>
  <c r="C19" i="91"/>
  <c r="E10" i="91"/>
  <c r="E9" i="91"/>
  <c r="F7" i="91"/>
  <c r="A126" i="90"/>
  <c r="A124" i="90"/>
  <c r="A122" i="90"/>
  <c r="A120" i="90"/>
  <c r="E111" i="90"/>
  <c r="H112" i="90" s="1"/>
  <c r="E109" i="90"/>
  <c r="H109" i="90" s="1"/>
  <c r="E107" i="90"/>
  <c r="H106" i="90"/>
  <c r="H105" i="90"/>
  <c r="H103" i="90" s="1"/>
  <c r="D120" i="90" s="1"/>
  <c r="H104" i="90"/>
  <c r="D101" i="90"/>
  <c r="C101" i="90"/>
  <c r="C91" i="90"/>
  <c r="E90" i="90"/>
  <c r="D89" i="90"/>
  <c r="C89" i="90" s="1"/>
  <c r="C87" i="90" s="1"/>
  <c r="H77" i="90"/>
  <c r="D77" i="90"/>
  <c r="C76" i="90"/>
  <c r="F59" i="90"/>
  <c r="O55" i="90" s="1"/>
  <c r="E59" i="90"/>
  <c r="N55" i="90" s="1"/>
  <c r="F56" i="90"/>
  <c r="O54" i="90" s="1"/>
  <c r="K55" i="90"/>
  <c r="J55" i="90"/>
  <c r="I55" i="90"/>
  <c r="F55" i="90"/>
  <c r="O53" i="90" s="1"/>
  <c r="N54" i="90"/>
  <c r="N53" i="90"/>
  <c r="K49" i="90"/>
  <c r="E48" i="90"/>
  <c r="N52" i="90" s="1"/>
  <c r="D48" i="90"/>
  <c r="M52" i="90" s="1"/>
  <c r="F33" i="90"/>
  <c r="D27" i="90"/>
  <c r="C25" i="90"/>
  <c r="C24" i="90"/>
  <c r="D17" i="90"/>
  <c r="C17" i="90"/>
  <c r="L4" i="90"/>
  <c r="K4" i="90"/>
  <c r="H1" i="90"/>
  <c r="F38" i="89"/>
  <c r="E37" i="89"/>
  <c r="F36" i="89"/>
  <c r="F35" i="89"/>
  <c r="F21" i="89"/>
  <c r="F40" i="89" s="1"/>
  <c r="F20" i="89"/>
  <c r="F39" i="89" s="1"/>
  <c r="C19" i="89"/>
  <c r="E10" i="89"/>
  <c r="E9" i="89"/>
  <c r="F7" i="89"/>
  <c r="A126" i="88"/>
  <c r="A124" i="88"/>
  <c r="A122" i="88"/>
  <c r="A120" i="88"/>
  <c r="E111" i="88"/>
  <c r="H111" i="88" s="1"/>
  <c r="D126" i="88" s="1"/>
  <c r="D127" i="88" s="1"/>
  <c r="E109" i="88"/>
  <c r="H109" i="88" s="1"/>
  <c r="E107" i="88"/>
  <c r="H106" i="88"/>
  <c r="H105" i="88"/>
  <c r="H103" i="88" s="1"/>
  <c r="D120" i="88" s="1"/>
  <c r="H104" i="88"/>
  <c r="D101" i="88"/>
  <c r="C101" i="88"/>
  <c r="C91" i="88"/>
  <c r="E90" i="88"/>
  <c r="D89" i="88"/>
  <c r="C89" i="88" s="1"/>
  <c r="C87" i="88" s="1"/>
  <c r="H77" i="88"/>
  <c r="D77" i="88"/>
  <c r="C76" i="88"/>
  <c r="F59" i="88"/>
  <c r="O55" i="88" s="1"/>
  <c r="E59" i="88"/>
  <c r="N55" i="88" s="1"/>
  <c r="F56" i="88"/>
  <c r="O54" i="88" s="1"/>
  <c r="K55" i="88"/>
  <c r="J55" i="88"/>
  <c r="I55" i="88"/>
  <c r="F55" i="88"/>
  <c r="O53" i="88" s="1"/>
  <c r="N54" i="88"/>
  <c r="N53" i="88"/>
  <c r="K49" i="88"/>
  <c r="E48" i="88"/>
  <c r="N52" i="88" s="1"/>
  <c r="D48" i="88"/>
  <c r="M52" i="88" s="1"/>
  <c r="F33" i="88"/>
  <c r="D27" i="88"/>
  <c r="C25" i="88"/>
  <c r="C24" i="88"/>
  <c r="D17" i="88"/>
  <c r="C17" i="88"/>
  <c r="C18" i="88" s="1"/>
  <c r="D18" i="88" s="1"/>
  <c r="L4" i="88"/>
  <c r="K4" i="88"/>
  <c r="H1" i="88"/>
  <c r="Q72" i="87"/>
  <c r="Q59" i="87"/>
  <c r="K59" i="87"/>
  <c r="P74" i="87" s="1"/>
  <c r="F59" i="87"/>
  <c r="Q58" i="87"/>
  <c r="J52" i="87"/>
  <c r="Q51" i="87"/>
  <c r="J50" i="87"/>
  <c r="J49" i="87"/>
  <c r="M47" i="87"/>
  <c r="D46" i="87"/>
  <c r="F33" i="87"/>
  <c r="F61" i="87" s="1"/>
  <c r="F31" i="87"/>
  <c r="F23" i="87"/>
  <c r="D23" i="87" s="1"/>
  <c r="F21" i="87"/>
  <c r="F20" i="87"/>
  <c r="M19" i="87"/>
  <c r="F18" i="87"/>
  <c r="M17" i="87"/>
  <c r="F17" i="87"/>
  <c r="F15" i="87"/>
  <c r="Y8" i="1"/>
  <c r="N14" i="1"/>
  <c r="N7" i="1"/>
  <c r="Y7" i="1" s="1"/>
  <c r="L14" i="1"/>
  <c r="L7" i="1"/>
  <c r="E2" i="89"/>
  <c r="D35" i="90"/>
  <c r="D34" i="90"/>
  <c r="E2" i="91"/>
  <c r="C18" i="90" l="1"/>
  <c r="D18" i="90" s="1"/>
  <c r="C21" i="91"/>
  <c r="P61" i="92"/>
  <c r="D24" i="92"/>
  <c r="D22" i="92"/>
  <c r="C40" i="91"/>
  <c r="D124" i="90"/>
  <c r="D125" i="90" s="1"/>
  <c r="H110" i="90"/>
  <c r="M49" i="90"/>
  <c r="C92" i="90"/>
  <c r="C94" i="90"/>
  <c r="D121" i="90"/>
  <c r="K120" i="90"/>
  <c r="H111" i="90"/>
  <c r="D126" i="90" s="1"/>
  <c r="D127" i="90" s="1"/>
  <c r="C21" i="89"/>
  <c r="C40" i="89"/>
  <c r="D124" i="88"/>
  <c r="D125" i="88" s="1"/>
  <c r="H110" i="88"/>
  <c r="M49" i="88"/>
  <c r="C92" i="88"/>
  <c r="C94" i="88"/>
  <c r="K120" i="88"/>
  <c r="D121" i="88"/>
  <c r="H112" i="88"/>
  <c r="D24" i="87"/>
  <c r="P61" i="87"/>
  <c r="D22" i="87"/>
  <c r="L66" i="90" l="1"/>
  <c r="M66" i="90" s="1"/>
  <c r="L64" i="90"/>
  <c r="M64" i="90" s="1"/>
  <c r="L63" i="90"/>
  <c r="M63" i="90" s="1"/>
  <c r="M69" i="90" s="1"/>
  <c r="N69" i="90" s="1"/>
  <c r="L68" i="90"/>
  <c r="M68" i="90" s="1"/>
  <c r="L67" i="90"/>
  <c r="M67" i="90" s="1"/>
  <c r="L65" i="90"/>
  <c r="M65" i="90" s="1"/>
  <c r="L66" i="88"/>
  <c r="M66" i="88" s="1"/>
  <c r="L64" i="88"/>
  <c r="M64" i="88" s="1"/>
  <c r="L65" i="88"/>
  <c r="M65" i="88" s="1"/>
  <c r="L68" i="88"/>
  <c r="M68" i="88" s="1"/>
  <c r="L67" i="88"/>
  <c r="M67" i="88" s="1"/>
  <c r="L63" i="88"/>
  <c r="M63" i="88" s="1"/>
  <c r="M69" i="88" s="1"/>
  <c r="N69" i="88" s="1"/>
  <c r="J12" i="74" l="1"/>
  <c r="C21" i="81"/>
  <c r="D70" i="39" l="1"/>
  <c r="E70" i="39" s="1"/>
  <c r="F70" i="39" s="1"/>
  <c r="G70" i="39" s="1"/>
  <c r="H70" i="39" s="1"/>
  <c r="I70" i="39" s="1"/>
  <c r="J70" i="39" s="1"/>
  <c r="K70" i="39" s="1"/>
  <c r="L70" i="39" s="1"/>
  <c r="M70" i="39" s="1"/>
  <c r="N70" i="39" s="1"/>
  <c r="O70" i="39" s="1"/>
  <c r="P70" i="39" s="1"/>
  <c r="I46" i="39"/>
  <c r="G46" i="39"/>
  <c r="E46" i="39"/>
  <c r="I38" i="39"/>
  <c r="G38" i="39"/>
  <c r="E38" i="39"/>
  <c r="I7" i="39"/>
  <c r="G7" i="39"/>
  <c r="E7" i="39"/>
  <c r="I5" i="39"/>
  <c r="G5" i="39"/>
  <c r="E5" i="39"/>
  <c r="N1" i="85" l="1"/>
  <c r="C45" i="81"/>
  <c r="L1" i="85"/>
  <c r="J1" i="85" s="1"/>
  <c r="Q18" i="1" l="1"/>
  <c r="C29" i="81" l="1"/>
  <c r="E45" i="81" s="1"/>
  <c r="E19" i="81"/>
  <c r="E20" i="81"/>
  <c r="K13" i="3" s="1"/>
  <c r="F20" i="6" s="1"/>
  <c r="E22" i="81"/>
  <c r="E23" i="81"/>
  <c r="E24" i="81"/>
  <c r="E18" i="81"/>
  <c r="D42" i="81"/>
  <c r="D46" i="81" s="1"/>
  <c r="D47" i="81" s="1"/>
  <c r="C42" i="81"/>
  <c r="C46" i="81" s="1"/>
  <c r="E46" i="81" s="1"/>
  <c r="E47" i="81" s="1"/>
  <c r="C35" i="81"/>
  <c r="C36" i="81" s="1"/>
  <c r="C25" i="81"/>
  <c r="D21" i="81"/>
  <c r="D25" i="81" s="1"/>
  <c r="O363" i="82"/>
  <c r="N363" i="82"/>
  <c r="U363" i="82" s="1"/>
  <c r="E12" i="81"/>
  <c r="D12" i="81"/>
  <c r="C12" i="81"/>
  <c r="I13" i="3" l="1"/>
  <c r="F19" i="6" s="1"/>
  <c r="C26" i="81"/>
  <c r="E25" i="81"/>
  <c r="E21" i="81"/>
  <c r="C47" i="81"/>
  <c r="C27" i="81"/>
  <c r="G6" i="81"/>
  <c r="G5" i="81"/>
  <c r="C4" i="81"/>
  <c r="C7" i="81" s="1"/>
  <c r="J52" i="15" l="1"/>
  <c r="J49" i="15"/>
  <c r="C37" i="21"/>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T16" i="79" s="1"/>
  <c r="W16" i="79" s="1"/>
  <c r="L16" i="79"/>
  <c r="S16" i="79" s="1"/>
  <c r="K16" i="79"/>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M13" i="79"/>
  <c r="L13" i="79"/>
  <c r="K13" i="79"/>
  <c r="I13" i="79"/>
  <c r="AC12" i="79"/>
  <c r="AB12" i="79"/>
  <c r="AA12" i="79"/>
  <c r="AD12" i="79" s="1"/>
  <c r="Z12" i="79"/>
  <c r="Y12" i="79"/>
  <c r="O12" i="79"/>
  <c r="N12" i="79"/>
  <c r="N3" i="79" s="1"/>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16" i="79" l="1"/>
  <c r="R16" i="79"/>
  <c r="V16" i="79"/>
  <c r="T28" i="79"/>
  <c r="W28" i="79" s="1"/>
  <c r="U34" i="79"/>
  <c r="AD35" i="79"/>
  <c r="S36" i="79"/>
  <c r="U38" i="79"/>
  <c r="AD39" i="79"/>
  <c r="O3" i="79"/>
  <c r="AB3" i="79"/>
  <c r="U13" i="79"/>
  <c r="L3" i="79"/>
  <c r="U14" i="79"/>
  <c r="U15" i="79"/>
  <c r="K3" i="79"/>
  <c r="S3" i="79"/>
  <c r="T12" i="79"/>
  <c r="W12" i="79" s="1"/>
  <c r="T25" i="79"/>
  <c r="W25" i="79" s="1"/>
  <c r="N2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B22" i="31"/>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C67"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s="1"/>
  <c r="D41" i="71"/>
  <c r="Q40" i="71"/>
  <c r="P40" i="71"/>
  <c r="O40" i="71"/>
  <c r="N40" i="71"/>
  <c r="Q39" i="71"/>
  <c r="AB38" i="71" s="1"/>
  <c r="P39" i="71"/>
  <c r="AA39" i="71"/>
  <c r="O39" i="71"/>
  <c r="N39" i="71"/>
  <c r="X39" i="71" s="1"/>
  <c r="Q38" i="71"/>
  <c r="P38" i="71"/>
  <c r="O38" i="71"/>
  <c r="Y38" i="71" s="1"/>
  <c r="Z38" i="71" s="1"/>
  <c r="N38" i="71"/>
  <c r="F38" i="71"/>
  <c r="F39" i="71" s="1"/>
  <c r="Q37" i="71"/>
  <c r="P37" i="71"/>
  <c r="E38" i="71" s="1"/>
  <c r="E39" i="71" s="1"/>
  <c r="O37" i="71"/>
  <c r="C38" i="71" s="1"/>
  <c r="D38" i="71" s="1"/>
  <c r="N37" i="71"/>
  <c r="B38" i="71" s="1"/>
  <c r="B39" i="71" s="1"/>
  <c r="D37" i="71"/>
  <c r="Q36" i="71"/>
  <c r="AB36" i="71" s="1"/>
  <c r="P36" i="71"/>
  <c r="O36" i="71"/>
  <c r="N36" i="71"/>
  <c r="Q35" i="71"/>
  <c r="P35" i="71"/>
  <c r="O35" i="71"/>
  <c r="N35" i="71"/>
  <c r="X35" i="71" s="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AA30" i="71" s="1"/>
  <c r="O30" i="71"/>
  <c r="N30" i="71"/>
  <c r="Q29" i="71"/>
  <c r="P29" i="71"/>
  <c r="E30" i="71" s="1"/>
  <c r="E31" i="71" s="1"/>
  <c r="E32" i="71" s="1"/>
  <c r="U32" i="71" s="1"/>
  <c r="O29" i="71"/>
  <c r="C30" i="71" s="1"/>
  <c r="D30" i="71" s="1"/>
  <c r="N29" i="71"/>
  <c r="D29" i="71"/>
  <c r="O28" i="71"/>
  <c r="C28" i="71" s="1"/>
  <c r="N28" i="71"/>
  <c r="B30" i="71"/>
  <c r="B31" i="71" s="1"/>
  <c r="C34" i="71"/>
  <c r="C35" i="71" s="1"/>
  <c r="D35" i="71" s="1"/>
  <c r="AA38" i="71"/>
  <c r="X25" i="71"/>
  <c r="D42" i="71"/>
  <c r="P28" i="71"/>
  <c r="E55" i="71"/>
  <c r="E56" i="71" s="1"/>
  <c r="U56" i="71" s="1"/>
  <c r="Q65" i="71"/>
  <c r="U68" i="71"/>
  <c r="E67" i="71"/>
  <c r="E66" i="71" s="1"/>
  <c r="Q28" i="71"/>
  <c r="AB25" i="71" s="1"/>
  <c r="C59" i="71"/>
  <c r="D59" i="71" s="1"/>
  <c r="D58" i="71"/>
  <c r="Q67" i="71"/>
  <c r="O68" i="71"/>
  <c r="D68" i="71"/>
  <c r="Q68" i="71"/>
  <c r="C71" i="71"/>
  <c r="D71" i="71" s="1"/>
  <c r="E71" i="71"/>
  <c r="E70" i="71" s="1"/>
  <c r="C75" i="71"/>
  <c r="D75" i="71" s="1"/>
  <c r="E75" i="71"/>
  <c r="E74" i="71" s="1"/>
  <c r="D76" i="71"/>
  <c r="C79" i="71"/>
  <c r="D79" i="71" s="1"/>
  <c r="E79" i="71"/>
  <c r="E78" i="71" s="1"/>
  <c r="D80" i="71"/>
  <c r="C87" i="71"/>
  <c r="D87" i="71" s="1"/>
  <c r="E28" i="71"/>
  <c r="E27" i="71" s="1"/>
  <c r="E26" i="71" s="1"/>
  <c r="C60" i="71"/>
  <c r="T60" i="71" s="1"/>
  <c r="P67" i="71"/>
  <c r="C36" i="71"/>
  <c r="T36" i="71" s="1"/>
  <c r="V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C29" i="39"/>
  <c r="H25" i="40"/>
  <c r="AB25" i="40" s="1"/>
  <c r="J25" i="40"/>
  <c r="W25" i="40" s="1"/>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18" i="36"/>
  <c r="AB21" i="37"/>
  <c r="U21" i="37"/>
  <c r="AA21" i="33"/>
  <c r="U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M18" i="88" s="1"/>
  <c r="B118" i="88" s="1"/>
  <c r="B15" i="74" s="1"/>
  <c r="E21" i="6"/>
  <c r="M18" i="90" s="1"/>
  <c r="B118" i="90" s="1"/>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O5"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L506" i="3" s="1"/>
  <c r="BP506" i="3"/>
  <c r="BQ506" i="3"/>
  <c r="BR506" i="3"/>
  <c r="BS506" i="3"/>
  <c r="BT506" i="3"/>
  <c r="H507" i="3"/>
  <c r="G507" i="3" s="1"/>
  <c r="AC507" i="3"/>
  <c r="BB507" i="3"/>
  <c r="BC507" i="3"/>
  <c r="BD507" i="3"/>
  <c r="BE507" i="3"/>
  <c r="BF507" i="3"/>
  <c r="BG507" i="3"/>
  <c r="BH507" i="3"/>
  <c r="BI507" i="3"/>
  <c r="BJ507" i="3"/>
  <c r="BK507" i="3"/>
  <c r="BM507" i="3"/>
  <c r="BN507" i="3"/>
  <c r="BO507" i="3"/>
  <c r="BL507" i="3" s="1"/>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A554" i="3" s="1"/>
  <c r="AZ554" i="3" s="1"/>
  <c r="BE554" i="3"/>
  <c r="BF554" i="3"/>
  <c r="BG554" i="3"/>
  <c r="BH554" i="3"/>
  <c r="BI554" i="3"/>
  <c r="BJ554" i="3"/>
  <c r="BK554" i="3"/>
  <c r="BM554" i="3"/>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L557" i="3" s="1"/>
  <c r="AZ557" i="3" s="1"/>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c r="F99" i="37"/>
  <c r="G99" i="37" s="1"/>
  <c r="H99" i="37" s="1"/>
  <c r="I99" i="37" s="1"/>
  <c r="J99" i="37" s="1"/>
  <c r="K99" i="37" s="1"/>
  <c r="L99" i="37" s="1"/>
  <c r="M99" i="37" s="1"/>
  <c r="H42" i="34"/>
  <c r="U42" i="34" s="1"/>
  <c r="J42" i="34"/>
  <c r="W42" i="34" s="1"/>
  <c r="F42" i="34"/>
  <c r="J38" i="34"/>
  <c r="D114" i="34"/>
  <c r="F38" i="34"/>
  <c r="S38" i="34" s="1"/>
  <c r="D112" i="34"/>
  <c r="E112" i="34" s="1"/>
  <c r="F112" i="34"/>
  <c r="G112" i="34" s="1"/>
  <c r="H112" i="34" s="1"/>
  <c r="I112" i="34" s="1"/>
  <c r="J112" i="34" s="1"/>
  <c r="K112" i="34" s="1"/>
  <c r="L112" i="34" s="1"/>
  <c r="M112" i="34" s="1"/>
  <c r="F40" i="33"/>
  <c r="J41" i="33"/>
  <c r="D113" i="33"/>
  <c r="E113" i="33" s="1"/>
  <c r="F37" i="33"/>
  <c r="S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H14" i="40" s="1"/>
  <c r="B79" i="40"/>
  <c r="H13" i="40" s="1"/>
  <c r="U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H9" i="40"/>
  <c r="AB9" i="40" s="1"/>
  <c r="F9" i="40"/>
  <c r="S9" i="40" s="1"/>
  <c r="J8" i="40"/>
  <c r="AC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B83" i="39"/>
  <c r="F13" i="39" s="1"/>
  <c r="AA13" i="39" s="1"/>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F26" i="37" s="1"/>
  <c r="D79" i="37"/>
  <c r="E79" i="37" s="1"/>
  <c r="D75" i="37"/>
  <c r="E75" i="37" s="1"/>
  <c r="F75" i="37" s="1"/>
  <c r="D73" i="37"/>
  <c r="E73" i="37" s="1"/>
  <c r="F73" i="37" s="1"/>
  <c r="D71" i="37"/>
  <c r="H15" i="37"/>
  <c r="AB15" i="37" s="1"/>
  <c r="B68" i="37"/>
  <c r="H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J9" i="36" s="1"/>
  <c r="P37" i="36"/>
  <c r="P36" i="36"/>
  <c r="V35" i="36"/>
  <c r="T35" i="36"/>
  <c r="R35" i="36"/>
  <c r="P35" i="36"/>
  <c r="Q34" i="36"/>
  <c r="Z34" i="36"/>
  <c r="Q33" i="36"/>
  <c r="Z33" i="36" s="1"/>
  <c r="Q32" i="36"/>
  <c r="Z32" i="36"/>
  <c r="Q31" i="36"/>
  <c r="Z31" i="36" s="1"/>
  <c r="Q30" i="36"/>
  <c r="Z30" i="36" s="1"/>
  <c r="AC30" i="36"/>
  <c r="Q29" i="36"/>
  <c r="Z29" i="36" s="1"/>
  <c r="Q28" i="36"/>
  <c r="Z28" i="36" s="1"/>
  <c r="J28" i="36"/>
  <c r="AC28" i="36" s="1"/>
  <c r="Q27" i="36"/>
  <c r="Z27" i="36" s="1"/>
  <c r="Q26" i="36"/>
  <c r="Z26" i="36"/>
  <c r="H26" i="36"/>
  <c r="AB26" i="36" s="1"/>
  <c r="Q25" i="36"/>
  <c r="Z25" i="36" s="1"/>
  <c r="Q24" i="36"/>
  <c r="Z24" i="36" s="1"/>
  <c r="Q23" i="36"/>
  <c r="Z23" i="36" s="1"/>
  <c r="Q22" i="36"/>
  <c r="Z22" i="36" s="1"/>
  <c r="J22" i="36"/>
  <c r="AC22" i="36" s="1"/>
  <c r="Q20" i="36"/>
  <c r="Z20" i="36"/>
  <c r="Q16" i="36"/>
  <c r="Z16" i="36" s="1"/>
  <c r="Q14" i="36"/>
  <c r="Z14" i="36" s="1"/>
  <c r="Q13" i="36"/>
  <c r="Z13" i="36" s="1"/>
  <c r="Q12" i="36"/>
  <c r="Z12" i="36" s="1"/>
  <c r="H12" i="36"/>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B97" i="35"/>
  <c r="H34" i="35" s="1"/>
  <c r="B77" i="35"/>
  <c r="B75" i="35"/>
  <c r="B73" i="35"/>
  <c r="F23" i="35" s="1"/>
  <c r="AA23" i="35" s="1"/>
  <c r="B57" i="35"/>
  <c r="B61" i="35"/>
  <c r="J13" i="35" s="1"/>
  <c r="B59" i="35"/>
  <c r="F12" i="35" s="1"/>
  <c r="B131" i="34"/>
  <c r="B129" i="34"/>
  <c r="B127" i="34"/>
  <c r="F45" i="34" s="1"/>
  <c r="B99" i="34"/>
  <c r="B97" i="34"/>
  <c r="B95" i="34"/>
  <c r="B93" i="34"/>
  <c r="H29" i="34" s="1"/>
  <c r="B75" i="34"/>
  <c r="F14" i="34" s="1"/>
  <c r="S14" i="34" s="1"/>
  <c r="B73" i="34"/>
  <c r="J13" i="34" s="1"/>
  <c r="B71" i="34"/>
  <c r="J12" i="34" s="1"/>
  <c r="W12" i="34" s="1"/>
  <c r="B130" i="33"/>
  <c r="F46" i="33" s="1"/>
  <c r="B128" i="33"/>
  <c r="J45" i="33" s="1"/>
  <c r="W45" i="33" s="1"/>
  <c r="B126" i="33"/>
  <c r="B98" i="33"/>
  <c r="B96" i="33"/>
  <c r="H30" i="33" s="1"/>
  <c r="AB30" i="33" s="1"/>
  <c r="B94" i="33"/>
  <c r="H29" i="33" s="1"/>
  <c r="U29" i="33" s="1"/>
  <c r="B74" i="33"/>
  <c r="B72" i="33"/>
  <c r="B70" i="33"/>
  <c r="H12" i="33" s="1"/>
  <c r="J12" i="33"/>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F9" i="35" s="1"/>
  <c r="S9" i="35" s="1"/>
  <c r="P39" i="35"/>
  <c r="P38" i="35"/>
  <c r="V37" i="35"/>
  <c r="T37" i="35"/>
  <c r="R37" i="35"/>
  <c r="P37" i="35"/>
  <c r="Q36" i="35"/>
  <c r="Z36" i="35" s="1"/>
  <c r="Q35" i="35"/>
  <c r="Z35" i="35" s="1"/>
  <c r="Q34" i="35"/>
  <c r="Z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c r="B88" i="33"/>
  <c r="C23" i="33"/>
  <c r="C19" i="33"/>
  <c r="C17" i="33"/>
  <c r="C15" i="33"/>
  <c r="C15" i="21"/>
  <c r="D125" i="33"/>
  <c r="E125" i="33" s="1"/>
  <c r="F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B90" i="33"/>
  <c r="F27" i="33" s="1"/>
  <c r="AA27" i="33" s="1"/>
  <c r="D87" i="33"/>
  <c r="E87" i="33" s="1"/>
  <c r="D85" i="33"/>
  <c r="E85" i="33" s="1"/>
  <c r="F85" i="33" s="1"/>
  <c r="G85" i="33" s="1"/>
  <c r="D81" i="33"/>
  <c r="E81" i="33" s="1"/>
  <c r="D79" i="33"/>
  <c r="E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c r="F38" i="33"/>
  <c r="AA38" i="33" s="1"/>
  <c r="Q37" i="33"/>
  <c r="Z37" i="33"/>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C21" i="20"/>
  <c r="C20" i="20"/>
  <c r="B101" i="43" s="1"/>
  <c r="C18" i="20"/>
  <c r="C21" i="39" s="1"/>
  <c r="C17" i="20"/>
  <c r="B61" i="43" s="1"/>
  <c r="C16" i="20"/>
  <c r="C17" i="39" s="1"/>
  <c r="C15" i="20"/>
  <c r="E54" i="21"/>
  <c r="F54" i="21" s="1"/>
  <c r="I54" i="21"/>
  <c r="J54" i="21" s="1"/>
  <c r="G54" i="21"/>
  <c r="H54" i="21" s="1"/>
  <c r="D125" i="21"/>
  <c r="D123" i="21"/>
  <c r="E123" i="21" s="1"/>
  <c r="F123" i="21" s="1"/>
  <c r="D119" i="21"/>
  <c r="F40" i="21"/>
  <c r="S40" i="21" s="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D85" i="21"/>
  <c r="D77" i="21"/>
  <c r="E77" i="21" s="1"/>
  <c r="J15" i="21" s="1"/>
  <c r="W15" i="21" s="1"/>
  <c r="B130" i="21"/>
  <c r="F46" i="21" s="1"/>
  <c r="AA46" i="21" s="1"/>
  <c r="B128" i="21"/>
  <c r="H45" i="21" s="1"/>
  <c r="U45" i="21" s="1"/>
  <c r="B126" i="21"/>
  <c r="B98" i="21"/>
  <c r="H31" i="21" s="1"/>
  <c r="AB31" i="21" s="1"/>
  <c r="B96" i="21"/>
  <c r="H30" i="21" s="1"/>
  <c r="B94" i="21"/>
  <c r="H29" i="21" s="1"/>
  <c r="U29" i="21" s="1"/>
  <c r="B92" i="21"/>
  <c r="B90" i="21"/>
  <c r="J27" i="21"/>
  <c r="W27" i="21" s="1"/>
  <c r="B74" i="21"/>
  <c r="J14" i="21" s="1"/>
  <c r="B72" i="21"/>
  <c r="H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36" i="21"/>
  <c r="S36" i="21" s="1"/>
  <c r="F39" i="21"/>
  <c r="S39" i="21" s="1"/>
  <c r="J40" i="21"/>
  <c r="W40" i="21" s="1"/>
  <c r="J8" i="21"/>
  <c r="AC8" i="21" s="1"/>
  <c r="H8" i="21"/>
  <c r="U8" i="21" s="1"/>
  <c r="H10" i="21"/>
  <c r="AB10" i="21" s="1"/>
  <c r="H39" i="21"/>
  <c r="U39" i="21" s="1"/>
  <c r="J34" i="21"/>
  <c r="W34" i="21" s="1"/>
  <c r="H36" i="21"/>
  <c r="U36" i="21" s="1"/>
  <c r="J10" i="21"/>
  <c r="AC10" i="21" s="1"/>
  <c r="H26" i="21"/>
  <c r="AB26" i="21" s="1"/>
  <c r="J26" i="21"/>
  <c r="W26" i="21" s="1"/>
  <c r="F26" i="21"/>
  <c r="S26" i="21" s="1"/>
  <c r="J45" i="39"/>
  <c r="W45" i="39" s="1"/>
  <c r="J44" i="39"/>
  <c r="AC44" i="39" s="1"/>
  <c r="F36" i="39"/>
  <c r="S36" i="39"/>
  <c r="H36" i="39"/>
  <c r="AB36" i="39" s="1"/>
  <c r="F35" i="39"/>
  <c r="AA35" i="39" s="1"/>
  <c r="J36" i="39"/>
  <c r="AC36" i="39"/>
  <c r="F39" i="37"/>
  <c r="F29" i="36"/>
  <c r="AA29" i="36" s="1"/>
  <c r="F16" i="36"/>
  <c r="AA16" i="36" s="1"/>
  <c r="W28" i="36"/>
  <c r="U31" i="36"/>
  <c r="J33" i="36"/>
  <c r="AC33" i="36" s="1"/>
  <c r="H22" i="35"/>
  <c r="AB22" i="35" s="1"/>
  <c r="AC27" i="35"/>
  <c r="W22" i="35"/>
  <c r="S31" i="35"/>
  <c r="F36" i="34"/>
  <c r="J35" i="34"/>
  <c r="H39" i="33"/>
  <c r="AB39" i="33" s="1"/>
  <c r="F26" i="33"/>
  <c r="U33" i="33"/>
  <c r="S40" i="33"/>
  <c r="W39" i="33"/>
  <c r="H39" i="37"/>
  <c r="F11" i="40"/>
  <c r="AA11" i="40" s="1"/>
  <c r="H11" i="40"/>
  <c r="AB11" i="40" s="1"/>
  <c r="W8" i="40"/>
  <c r="AA9" i="40"/>
  <c r="S34" i="40"/>
  <c r="U34" i="40"/>
  <c r="F42" i="39"/>
  <c r="AA42" i="39" s="1"/>
  <c r="F41" i="39"/>
  <c r="S41" i="39" s="1"/>
  <c r="H40" i="39"/>
  <c r="AB40" i="39" s="1"/>
  <c r="H39" i="39"/>
  <c r="U39" i="39" s="1"/>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AC31" i="39" s="1"/>
  <c r="J19" i="39"/>
  <c r="AC19" i="39" s="1"/>
  <c r="J17" i="39"/>
  <c r="AC17" i="39" s="1"/>
  <c r="C25" i="39"/>
  <c r="C27" i="39"/>
  <c r="H32" i="33"/>
  <c r="U32" i="33" s="1"/>
  <c r="H37" i="40"/>
  <c r="U37" i="40" s="1"/>
  <c r="H36" i="40"/>
  <c r="AB36" i="40" s="1"/>
  <c r="F35" i="40"/>
  <c r="S35" i="40" s="1"/>
  <c r="H23" i="40"/>
  <c r="AB23" i="40" s="1"/>
  <c r="H17" i="40"/>
  <c r="U17" i="40"/>
  <c r="J15" i="40"/>
  <c r="W15" i="40" s="1"/>
  <c r="J11" i="40"/>
  <c r="AC12" i="34"/>
  <c r="AA12" i="34"/>
  <c r="W32" i="40"/>
  <c r="F37" i="39"/>
  <c r="S37" i="39" s="1"/>
  <c r="J30" i="35"/>
  <c r="W30" i="35" s="1"/>
  <c r="H30" i="35"/>
  <c r="AB30" i="35" s="1"/>
  <c r="F22" i="35"/>
  <c r="AA22" i="35" s="1"/>
  <c r="H10" i="35"/>
  <c r="U10" i="35" s="1"/>
  <c r="AC16" i="36"/>
  <c r="F33" i="36"/>
  <c r="AA33" i="36" s="1"/>
  <c r="W30" i="36"/>
  <c r="H16" i="36"/>
  <c r="AB16" i="36" s="1"/>
  <c r="J29" i="36"/>
  <c r="AC29" i="36" s="1"/>
  <c r="F12" i="36"/>
  <c r="F14" i="35"/>
  <c r="AA14" i="35" s="1"/>
  <c r="J32" i="35"/>
  <c r="AC32" i="35" s="1"/>
  <c r="J16" i="35"/>
  <c r="AC16" i="35" s="1"/>
  <c r="H16" i="35"/>
  <c r="U16" i="35" s="1"/>
  <c r="F16" i="35"/>
  <c r="S16" i="35" s="1"/>
  <c r="H14" i="35"/>
  <c r="AB14" i="35" s="1"/>
  <c r="J29" i="35"/>
  <c r="H33" i="35"/>
  <c r="AB33" i="35" s="1"/>
  <c r="J20" i="35"/>
  <c r="F35" i="37"/>
  <c r="S35" i="37"/>
  <c r="J34" i="37"/>
  <c r="W34" i="37" s="1"/>
  <c r="AB34" i="37"/>
  <c r="J33" i="37"/>
  <c r="AC33" i="37" s="1"/>
  <c r="H40" i="34"/>
  <c r="E114" i="34"/>
  <c r="F114" i="34" s="1"/>
  <c r="G114" i="34" s="1"/>
  <c r="H114" i="34" s="1"/>
  <c r="I114" i="34" s="1"/>
  <c r="J114" i="34" s="1"/>
  <c r="K114" i="34" s="1"/>
  <c r="L114" i="34" s="1"/>
  <c r="M114" i="34" s="1"/>
  <c r="H36" i="34"/>
  <c r="U36" i="34" s="1"/>
  <c r="F37" i="34"/>
  <c r="AA37" i="34" s="1"/>
  <c r="S35" i="34"/>
  <c r="F27" i="34"/>
  <c r="AA27" i="34" s="1"/>
  <c r="F25" i="34"/>
  <c r="S25" i="34" s="1"/>
  <c r="H23" i="34"/>
  <c r="AB23" i="34" s="1"/>
  <c r="J23" i="34"/>
  <c r="F19" i="34"/>
  <c r="H17" i="34"/>
  <c r="U17" i="34" s="1"/>
  <c r="F15" i="34"/>
  <c r="J15" i="34"/>
  <c r="AC15" i="34" s="1"/>
  <c r="H15" i="34"/>
  <c r="AB15" i="34" s="1"/>
  <c r="W8" i="34"/>
  <c r="F41" i="33"/>
  <c r="S38" i="33"/>
  <c r="F32" i="33"/>
  <c r="AA32" i="33" s="1"/>
  <c r="J19" i="33"/>
  <c r="J15" i="33"/>
  <c r="AC15" i="33" s="1"/>
  <c r="F11" i="33"/>
  <c r="AA11" i="33" s="1"/>
  <c r="W40" i="33"/>
  <c r="F37" i="40"/>
  <c r="AA37" i="40" s="1"/>
  <c r="F36" i="40"/>
  <c r="AA36" i="40" s="1"/>
  <c r="H28" i="40"/>
  <c r="U28" i="40" s="1"/>
  <c r="F23" i="40"/>
  <c r="AA23" i="40" s="1"/>
  <c r="F17" i="40"/>
  <c r="AA17" i="40" s="1"/>
  <c r="J17" i="40"/>
  <c r="W17" i="40" s="1"/>
  <c r="F15" i="40"/>
  <c r="S15" i="40" s="1"/>
  <c r="H15" i="40"/>
  <c r="AB15" i="40" s="1"/>
  <c r="F29" i="35"/>
  <c r="H29" i="35"/>
  <c r="AB29" i="35" s="1"/>
  <c r="H33" i="37"/>
  <c r="AB33" i="37" s="1"/>
  <c r="F33" i="37"/>
  <c r="AA33" i="37" s="1"/>
  <c r="U34" i="37"/>
  <c r="AA34" i="37"/>
  <c r="J43" i="34"/>
  <c r="AB42" i="34"/>
  <c r="J40" i="34"/>
  <c r="H38" i="34"/>
  <c r="AB38" i="34" s="1"/>
  <c r="J36" i="34"/>
  <c r="W36" i="34" s="1"/>
  <c r="H37" i="34"/>
  <c r="U37" i="34" s="1"/>
  <c r="H25" i="34"/>
  <c r="J25" i="34"/>
  <c r="AC25" i="34" s="1"/>
  <c r="F23" i="34"/>
  <c r="AA23" i="34"/>
  <c r="J19" i="34"/>
  <c r="AC19" i="34" s="1"/>
  <c r="F17" i="34"/>
  <c r="AA17" i="34" s="1"/>
  <c r="J17" i="34"/>
  <c r="W17" i="34" s="1"/>
  <c r="AA15" i="34"/>
  <c r="S15" i="34"/>
  <c r="F113" i="33"/>
  <c r="G113" i="33"/>
  <c r="H113" i="33" s="1"/>
  <c r="I113" i="33" s="1"/>
  <c r="J113" i="33" s="1"/>
  <c r="K113" i="33" s="1"/>
  <c r="L113" i="33" s="1"/>
  <c r="M113" i="33" s="1"/>
  <c r="H37" i="33"/>
  <c r="AB37" i="33" s="1"/>
  <c r="H15" i="33"/>
  <c r="AB15" i="33"/>
  <c r="H11" i="33"/>
  <c r="F28" i="40"/>
  <c r="AA28" i="40" s="1"/>
  <c r="AA42" i="34"/>
  <c r="S42" i="34"/>
  <c r="AA38" i="34"/>
  <c r="J37" i="34"/>
  <c r="AC37" i="34" s="1"/>
  <c r="J11" i="33"/>
  <c r="W11" i="33" s="1"/>
  <c r="J42" i="21"/>
  <c r="AC42" i="21" s="1"/>
  <c r="H42" i="21"/>
  <c r="U42" i="21" s="1"/>
  <c r="J44" i="34"/>
  <c r="W44" i="34" s="1"/>
  <c r="F44" i="34"/>
  <c r="J10" i="35"/>
  <c r="AC10" i="35" s="1"/>
  <c r="W14" i="21"/>
  <c r="F14" i="21"/>
  <c r="S14" i="21" s="1"/>
  <c r="H14" i="21"/>
  <c r="U14" i="21" s="1"/>
  <c r="H28" i="21"/>
  <c r="F28" i="21"/>
  <c r="AA28" i="21" s="1"/>
  <c r="J28" i="21"/>
  <c r="F30" i="21"/>
  <c r="S30" i="21" s="1"/>
  <c r="J30" i="21"/>
  <c r="AC30" i="21" s="1"/>
  <c r="F44" i="21"/>
  <c r="AA44" i="21" s="1"/>
  <c r="H46" i="21"/>
  <c r="U46" i="21" s="1"/>
  <c r="J46" i="21"/>
  <c r="E119" i="21"/>
  <c r="F119" i="21" s="1"/>
  <c r="G119" i="21" s="1"/>
  <c r="H119" i="21" s="1"/>
  <c r="I119" i="21" s="1"/>
  <c r="J119" i="21" s="1"/>
  <c r="K119" i="21" s="1"/>
  <c r="L119" i="21" s="1"/>
  <c r="M119" i="21" s="1"/>
  <c r="H28" i="33"/>
  <c r="U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s="1"/>
  <c r="F27" i="21"/>
  <c r="AA27" i="21"/>
  <c r="J31" i="21"/>
  <c r="AC31" i="21"/>
  <c r="F31" i="21"/>
  <c r="S31" i="21" s="1"/>
  <c r="J13" i="33"/>
  <c r="AC13" i="33" s="1"/>
  <c r="H13" i="33"/>
  <c r="U13" i="33" s="1"/>
  <c r="F13" i="33"/>
  <c r="J31" i="33"/>
  <c r="W31" i="33" s="1"/>
  <c r="H31" i="33"/>
  <c r="F31" i="33"/>
  <c r="H45" i="33"/>
  <c r="AB45" i="33" s="1"/>
  <c r="H30" i="34"/>
  <c r="U30" i="34" s="1"/>
  <c r="F30" i="34"/>
  <c r="S30" i="34"/>
  <c r="J30" i="34"/>
  <c r="AC30" i="34" s="1"/>
  <c r="W30" i="34"/>
  <c r="H46" i="34"/>
  <c r="F46" i="34"/>
  <c r="S46" i="34" s="1"/>
  <c r="J46" i="34"/>
  <c r="H11" i="35"/>
  <c r="AB11" i="35" s="1"/>
  <c r="J11" i="35"/>
  <c r="W11" i="35" s="1"/>
  <c r="F11" i="35"/>
  <c r="S11" i="35" s="1"/>
  <c r="J26" i="36"/>
  <c r="W26" i="36" s="1"/>
  <c r="H28" i="36"/>
  <c r="U28" i="36" s="1"/>
  <c r="J11" i="36"/>
  <c r="AC11" i="36" s="1"/>
  <c r="H11" i="36"/>
  <c r="U11" i="36" s="1"/>
  <c r="F11" i="36"/>
  <c r="AA11" i="36" s="1"/>
  <c r="J13" i="36"/>
  <c r="W13" i="36" s="1"/>
  <c r="E89" i="37"/>
  <c r="F89" i="37" s="1"/>
  <c r="G89" i="37" s="1"/>
  <c r="H89" i="37" s="1"/>
  <c r="I89" i="37" s="1"/>
  <c r="J89" i="37" s="1"/>
  <c r="K89" i="37" s="1"/>
  <c r="L89" i="37" s="1"/>
  <c r="M89" i="37" s="1"/>
  <c r="J29" i="37"/>
  <c r="W29" i="37" s="1"/>
  <c r="F29" i="37"/>
  <c r="S29" i="37"/>
  <c r="F105" i="37"/>
  <c r="G105" i="37" s="1"/>
  <c r="H36" i="37"/>
  <c r="AB36" i="37" s="1"/>
  <c r="J37" i="37"/>
  <c r="AC37" i="37"/>
  <c r="H37" i="37"/>
  <c r="U37" i="37" s="1"/>
  <c r="H40" i="37"/>
  <c r="U40" i="37"/>
  <c r="J40" i="37"/>
  <c r="AC40" i="37" s="1"/>
  <c r="F40" i="37"/>
  <c r="AA40" i="37" s="1"/>
  <c r="AC12" i="40"/>
  <c r="H14" i="33"/>
  <c r="U14" i="33" s="1"/>
  <c r="F14" i="33"/>
  <c r="S14" i="33" s="1"/>
  <c r="J14" i="33"/>
  <c r="F30" i="33"/>
  <c r="AA30" i="33" s="1"/>
  <c r="J30" i="33"/>
  <c r="H44" i="33"/>
  <c r="J46" i="33"/>
  <c r="AC46" i="33" s="1"/>
  <c r="AA46" i="33"/>
  <c r="H46" i="33"/>
  <c r="U46" i="33" s="1"/>
  <c r="AB46" i="33"/>
  <c r="W13" i="34"/>
  <c r="J29" i="34"/>
  <c r="W29" i="34" s="1"/>
  <c r="F29" i="34"/>
  <c r="S29" i="34" s="1"/>
  <c r="AB29" i="34"/>
  <c r="J31" i="34"/>
  <c r="AC31" i="34" s="1"/>
  <c r="H45" i="34"/>
  <c r="U45" i="34"/>
  <c r="J45" i="34"/>
  <c r="S45" i="34"/>
  <c r="H47" i="34"/>
  <c r="F13" i="35"/>
  <c r="S13" i="35" s="1"/>
  <c r="AC13" i="35"/>
  <c r="H13" i="35"/>
  <c r="U13" i="35"/>
  <c r="J25" i="35"/>
  <c r="W25" i="35"/>
  <c r="F25" i="35"/>
  <c r="S25" i="35"/>
  <c r="H25" i="35"/>
  <c r="AB25" i="35"/>
  <c r="F13" i="37"/>
  <c r="S13" i="37" s="1"/>
  <c r="J13" i="37"/>
  <c r="W13" i="37" s="1"/>
  <c r="F43" i="39"/>
  <c r="AA43" i="39" s="1"/>
  <c r="H43" i="39"/>
  <c r="J14" i="39"/>
  <c r="AC14" i="39" s="1"/>
  <c r="F14" i="39"/>
  <c r="S14" i="39" s="1"/>
  <c r="H14" i="39"/>
  <c r="AB14" i="39" s="1"/>
  <c r="F12" i="40"/>
  <c r="S12" i="40" s="1"/>
  <c r="H12" i="40"/>
  <c r="AB12" i="40" s="1"/>
  <c r="H30" i="40"/>
  <c r="AB30" i="40" s="1"/>
  <c r="H33" i="40"/>
  <c r="U33" i="40" s="1"/>
  <c r="J35" i="40"/>
  <c r="AC35" i="40" s="1"/>
  <c r="J37" i="40"/>
  <c r="AC37" i="40" s="1"/>
  <c r="J13" i="40"/>
  <c r="W13" i="40" s="1"/>
  <c r="F13" i="40"/>
  <c r="AA13" i="40" s="1"/>
  <c r="F27" i="37"/>
  <c r="AA27" i="37" s="1"/>
  <c r="J13" i="39"/>
  <c r="W13" i="39" s="1"/>
  <c r="AB14" i="40"/>
  <c r="J14" i="40"/>
  <c r="W14" i="40" s="1"/>
  <c r="J14" i="37"/>
  <c r="J27" i="37"/>
  <c r="AC27" i="37"/>
  <c r="AA14" i="33"/>
  <c r="J36" i="37"/>
  <c r="J10" i="36"/>
  <c r="AC10" i="36" s="1"/>
  <c r="W31" i="34"/>
  <c r="AC13" i="36"/>
  <c r="AB31" i="33"/>
  <c r="U31" i="33"/>
  <c r="J41" i="39"/>
  <c r="W41" i="39" s="1"/>
  <c r="W36" i="39"/>
  <c r="U36" i="39"/>
  <c r="S35" i="39"/>
  <c r="G532" i="3"/>
  <c r="G528" i="3"/>
  <c r="G514" i="3"/>
  <c r="G500" i="3"/>
  <c r="G584" i="3"/>
  <c r="G580" i="3"/>
  <c r="G576" i="3"/>
  <c r="G572" i="3"/>
  <c r="G568" i="3"/>
  <c r="G564" i="3"/>
  <c r="G560" i="3"/>
  <c r="BL576" i="3"/>
  <c r="BL568" i="3"/>
  <c r="BL564" i="3"/>
  <c r="BL560" i="3"/>
  <c r="BL554" i="3"/>
  <c r="BL582" i="3"/>
  <c r="BL578" i="3"/>
  <c r="BL566" i="3"/>
  <c r="BL562" i="3"/>
  <c r="BA584" i="3"/>
  <c r="BA582" i="3"/>
  <c r="AZ582" i="3" s="1"/>
  <c r="BA578" i="3"/>
  <c r="BA568" i="3"/>
  <c r="AZ568" i="3" s="1"/>
  <c r="BA566" i="3"/>
  <c r="AZ566" i="3" s="1"/>
  <c r="BA564" i="3"/>
  <c r="BA562" i="3"/>
  <c r="AZ562" i="3"/>
  <c r="BA560" i="3"/>
  <c r="BA558" i="3"/>
  <c r="BA524" i="3"/>
  <c r="BA583" i="3"/>
  <c r="BA579" i="3"/>
  <c r="BA569" i="3"/>
  <c r="BA567" i="3"/>
  <c r="BA565" i="3"/>
  <c r="BA563" i="3"/>
  <c r="BA561" i="3"/>
  <c r="BA559" i="3"/>
  <c r="BA553" i="3"/>
  <c r="BA501" i="3"/>
  <c r="G581" i="3"/>
  <c r="G579" i="3"/>
  <c r="G573" i="3"/>
  <c r="G571" i="3"/>
  <c r="G569" i="3"/>
  <c r="G567" i="3"/>
  <c r="G565" i="3"/>
  <c r="G563" i="3"/>
  <c r="G561" i="3"/>
  <c r="BL558" i="3"/>
  <c r="AC557" i="3"/>
  <c r="G557" i="3" s="1"/>
  <c r="BQ557" i="3"/>
  <c r="BQ583" i="3"/>
  <c r="BL583" i="3" s="1"/>
  <c r="BQ581" i="3"/>
  <c r="BQ579" i="3"/>
  <c r="BL579" i="3" s="1"/>
  <c r="BQ577" i="3"/>
  <c r="BQ575" i="3"/>
  <c r="BQ573" i="3"/>
  <c r="BQ571" i="3"/>
  <c r="BQ569" i="3"/>
  <c r="BL569" i="3" s="1"/>
  <c r="BQ567" i="3"/>
  <c r="BL567" i="3" s="1"/>
  <c r="AZ567" i="3" s="1"/>
  <c r="BQ565" i="3"/>
  <c r="BL565" i="3" s="1"/>
  <c r="BQ563" i="3"/>
  <c r="BL563" i="3" s="1"/>
  <c r="BQ561" i="3"/>
  <c r="BL561" i="3" s="1"/>
  <c r="AZ561" i="3" s="1"/>
  <c r="BQ559" i="3"/>
  <c r="BL559" i="3" s="1"/>
  <c r="AZ559" i="3" s="1"/>
  <c r="G559" i="3"/>
  <c r="G553" i="3"/>
  <c r="G549" i="3"/>
  <c r="G543" i="3"/>
  <c r="BQ555" i="3"/>
  <c r="BQ553" i="3"/>
  <c r="BQ551" i="3"/>
  <c r="BQ549" i="3"/>
  <c r="BQ547" i="3"/>
  <c r="BQ545" i="3"/>
  <c r="BQ543" i="3"/>
  <c r="BQ541" i="3"/>
  <c r="BQ539" i="3"/>
  <c r="BQ537" i="3"/>
  <c r="BQ535" i="3"/>
  <c r="BQ533" i="3"/>
  <c r="BQ531" i="3"/>
  <c r="BQ529" i="3"/>
  <c r="BQ527" i="3"/>
  <c r="BQ525" i="3"/>
  <c r="BQ523" i="3"/>
  <c r="AC521" i="3"/>
  <c r="BQ521" i="3"/>
  <c r="G517" i="3"/>
  <c r="G515" i="3"/>
  <c r="BQ519" i="3"/>
  <c r="BL519" i="3"/>
  <c r="BQ517" i="3"/>
  <c r="BQ515" i="3"/>
  <c r="BQ513" i="3"/>
  <c r="BQ511" i="3"/>
  <c r="AC509" i="3"/>
  <c r="BQ509" i="3"/>
  <c r="G499"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AB27" i="37"/>
  <c r="AA36" i="39"/>
  <c r="F39" i="33"/>
  <c r="E123" i="33"/>
  <c r="F123" i="33" s="1"/>
  <c r="G123" i="33" s="1"/>
  <c r="H123" i="33" s="1"/>
  <c r="I123" i="33" s="1"/>
  <c r="J123" i="33" s="1"/>
  <c r="K123" i="33" s="1"/>
  <c r="L123" i="33" s="1"/>
  <c r="M123" i="33" s="1"/>
  <c r="F42" i="33"/>
  <c r="AA42" i="33" s="1"/>
  <c r="H28" i="34"/>
  <c r="F14" i="36"/>
  <c r="AA14" i="36"/>
  <c r="F22" i="36"/>
  <c r="F26" i="36"/>
  <c r="S26" i="36" s="1"/>
  <c r="H27" i="34"/>
  <c r="AB27" i="34"/>
  <c r="H35" i="34"/>
  <c r="U35" i="34" s="1"/>
  <c r="F41" i="34"/>
  <c r="S41" i="34" s="1"/>
  <c r="H41" i="34"/>
  <c r="J41" i="34"/>
  <c r="AC41" i="34" s="1"/>
  <c r="F10" i="35"/>
  <c r="S10" i="35" s="1"/>
  <c r="F24" i="35"/>
  <c r="AA24" i="35"/>
  <c r="H23" i="37"/>
  <c r="AB23" i="37" s="1"/>
  <c r="J32" i="37"/>
  <c r="AC32" i="37" s="1"/>
  <c r="F36" i="37"/>
  <c r="F37" i="37"/>
  <c r="AA37" i="37" s="1"/>
  <c r="H31" i="40"/>
  <c r="U31" i="40" s="1"/>
  <c r="F32" i="40"/>
  <c r="H32" i="40"/>
  <c r="AB32" i="40" s="1"/>
  <c r="J36" i="40"/>
  <c r="W36" i="40" s="1"/>
  <c r="AA41" i="34"/>
  <c r="H19" i="37"/>
  <c r="H42" i="33"/>
  <c r="AB42" i="33" s="1"/>
  <c r="G125" i="33"/>
  <c r="J43" i="33"/>
  <c r="AC43" i="33" s="1"/>
  <c r="S28" i="31"/>
  <c r="S27" i="31"/>
  <c r="S26" i="31"/>
  <c r="U14" i="40"/>
  <c r="U33" i="37"/>
  <c r="AC36" i="34"/>
  <c r="AC31" i="33"/>
  <c r="F43" i="33"/>
  <c r="AA43" i="33" s="1"/>
  <c r="W15" i="34"/>
  <c r="W16" i="35"/>
  <c r="G107" i="37"/>
  <c r="H107" i="37" s="1"/>
  <c r="I107" i="37" s="1"/>
  <c r="J107" i="37" s="1"/>
  <c r="K107" i="37" s="1"/>
  <c r="L107" i="37" s="1"/>
  <c r="M107" i="37" s="1"/>
  <c r="H19" i="34"/>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s="1"/>
  <c r="AT6" i="3"/>
  <c r="AA25" i="21"/>
  <c r="H19" i="40"/>
  <c r="U19" i="40" s="1"/>
  <c r="F88" i="40"/>
  <c r="G88" i="40" s="1"/>
  <c r="F19" i="40"/>
  <c r="S19" i="40" s="1"/>
  <c r="AC13" i="40"/>
  <c r="AB33" i="40"/>
  <c r="AC43" i="39"/>
  <c r="W43" i="39"/>
  <c r="H37" i="39"/>
  <c r="AB37" i="39" s="1"/>
  <c r="AC37" i="39"/>
  <c r="W37" i="39"/>
  <c r="H25" i="39"/>
  <c r="AB25" i="39" s="1"/>
  <c r="J25" i="39"/>
  <c r="F25" i="39"/>
  <c r="AA25" i="39" s="1"/>
  <c r="F15" i="39"/>
  <c r="H15" i="39"/>
  <c r="U15" i="39" s="1"/>
  <c r="J15" i="39"/>
  <c r="W15" i="39" s="1"/>
  <c r="H41" i="39"/>
  <c r="AB41" i="39" s="1"/>
  <c r="AB34" i="39"/>
  <c r="W9" i="39"/>
  <c r="W8" i="39"/>
  <c r="J19" i="40"/>
  <c r="AC19" i="40" s="1"/>
  <c r="J50" i="40"/>
  <c r="H103" i="9"/>
  <c r="D8" i="53" s="1"/>
  <c r="B16" i="53"/>
  <c r="B33" i="72" s="1"/>
  <c r="C7" i="34"/>
  <c r="C7" i="36"/>
  <c r="C46" i="36" s="1"/>
  <c r="D46" i="36" s="1"/>
  <c r="E46" i="36" s="1"/>
  <c r="F46" i="36" s="1"/>
  <c r="G46" i="36" s="1"/>
  <c r="H46" i="36" s="1"/>
  <c r="I46" i="36" s="1"/>
  <c r="W35" i="40"/>
  <c r="A118" i="9"/>
  <c r="A4" i="52"/>
  <c r="B41" i="72" s="1"/>
  <c r="G4" i="4"/>
  <c r="I4" i="4"/>
  <c r="A2" i="9"/>
  <c r="F61" i="43"/>
  <c r="H64" i="43" s="1"/>
  <c r="BL549"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G133" i="3"/>
  <c r="BA135" i="3"/>
  <c r="BL136" i="3"/>
  <c r="G137" i="3"/>
  <c r="BA139" i="3"/>
  <c r="BL140" i="3"/>
  <c r="G141" i="3"/>
  <c r="BA143" i="3"/>
  <c r="AZ143" i="3" s="1"/>
  <c r="BL144" i="3"/>
  <c r="G145" i="3"/>
  <c r="BA147" i="3"/>
  <c r="BL148" i="3"/>
  <c r="G149" i="3"/>
  <c r="BA151" i="3"/>
  <c r="BL152" i="3"/>
  <c r="AZ152" i="3" s="1"/>
  <c r="G153" i="3"/>
  <c r="BA155" i="3"/>
  <c r="AZ155" i="3" s="1"/>
  <c r="BL156" i="3"/>
  <c r="G157" i="3"/>
  <c r="BA159" i="3"/>
  <c r="BL160" i="3"/>
  <c r="G161" i="3"/>
  <c r="BA163" i="3"/>
  <c r="BL164" i="3"/>
  <c r="G165" i="3"/>
  <c r="BA167" i="3"/>
  <c r="BL168" i="3"/>
  <c r="G169" i="3"/>
  <c r="BA171" i="3"/>
  <c r="BL172" i="3"/>
  <c r="AZ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30" i="3"/>
  <c r="G512" i="3"/>
  <c r="G494" i="3"/>
  <c r="G16" i="3"/>
  <c r="G15" i="3"/>
  <c r="BA304" i="3"/>
  <c r="BA305" i="3"/>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AZ337" i="3" s="1"/>
  <c r="G338" i="3"/>
  <c r="G341" i="3"/>
  <c r="BA342" i="3"/>
  <c r="BL342" i="3"/>
  <c r="AZ342" i="3" s="1"/>
  <c r="BA344" i="3"/>
  <c r="BL344" i="3"/>
  <c r="BA346" i="3"/>
  <c r="BA347" i="3"/>
  <c r="AZ347" i="3" s="1"/>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AZ370" i="3" s="1"/>
  <c r="G371" i="3"/>
  <c r="BA373" i="3"/>
  <c r="AZ373" i="3" s="1"/>
  <c r="BL374" i="3"/>
  <c r="G375" i="3"/>
  <c r="BA377" i="3"/>
  <c r="BA379" i="3"/>
  <c r="BL380" i="3"/>
  <c r="G381" i="3"/>
  <c r="BA383" i="3"/>
  <c r="BL384" i="3"/>
  <c r="G385" i="3"/>
  <c r="BA387" i="3"/>
  <c r="BL388" i="3"/>
  <c r="G389" i="3"/>
  <c r="BA391" i="3"/>
  <c r="BL392" i="3"/>
  <c r="G393" i="3"/>
  <c r="BK5" i="3"/>
  <c r="G17" i="3"/>
  <c r="BA17" i="3"/>
  <c r="AZ364" i="3"/>
  <c r="BA15" i="3"/>
  <c r="G509" i="3"/>
  <c r="U36" i="40"/>
  <c r="F83" i="43"/>
  <c r="H85" i="43" s="1"/>
  <c r="F50" i="43"/>
  <c r="H54" i="43" s="1"/>
  <c r="F72" i="43"/>
  <c r="H75" i="43" s="1"/>
  <c r="U17" i="39"/>
  <c r="G10" i="1"/>
  <c r="W37" i="37"/>
  <c r="S15" i="37"/>
  <c r="U13" i="37"/>
  <c r="AA12" i="40"/>
  <c r="J37" i="33"/>
  <c r="W37" i="33" s="1"/>
  <c r="AC17" i="34"/>
  <c r="J34" i="33"/>
  <c r="W34" i="33" s="1"/>
  <c r="F33" i="34"/>
  <c r="S33" i="34"/>
  <c r="W12" i="36"/>
  <c r="AC12" i="36"/>
  <c r="H20" i="36"/>
  <c r="AB20" i="36" s="1"/>
  <c r="U20" i="36"/>
  <c r="J20" i="36"/>
  <c r="J27" i="36"/>
  <c r="W27" i="36" s="1"/>
  <c r="AC33" i="40"/>
  <c r="F111" i="40"/>
  <c r="G111" i="40" s="1"/>
  <c r="H111" i="40" s="1"/>
  <c r="I111" i="40" s="1"/>
  <c r="J111" i="40" s="1"/>
  <c r="K111" i="40" s="1"/>
  <c r="L111" i="40" s="1"/>
  <c r="M111" i="40" s="1"/>
  <c r="H35" i="40"/>
  <c r="U35" i="40" s="1"/>
  <c r="AC29" i="35"/>
  <c r="W29" i="35"/>
  <c r="H35" i="37"/>
  <c r="U35" i="37" s="1"/>
  <c r="AC14" i="35"/>
  <c r="H20" i="35"/>
  <c r="U20" i="35"/>
  <c r="F20" i="35"/>
  <c r="AA20" i="35" s="1"/>
  <c r="H32" i="37"/>
  <c r="F96" i="37"/>
  <c r="G96" i="37" s="1"/>
  <c r="H96" i="37" s="1"/>
  <c r="I96" i="37" s="1"/>
  <c r="J96" i="37" s="1"/>
  <c r="K96" i="37" s="1"/>
  <c r="L96" i="37" s="1"/>
  <c r="M96" i="37" s="1"/>
  <c r="H27" i="40"/>
  <c r="U27" i="40" s="1"/>
  <c r="J27" i="40"/>
  <c r="AC27" i="40" s="1"/>
  <c r="F27" i="40"/>
  <c r="S27" i="40" s="1"/>
  <c r="J30" i="40"/>
  <c r="W30" i="40" s="1"/>
  <c r="AC30" i="40"/>
  <c r="F30" i="40"/>
  <c r="AA30" i="40" s="1"/>
  <c r="AC21" i="40"/>
  <c r="S31" i="39"/>
  <c r="S11" i="40"/>
  <c r="E98" i="40"/>
  <c r="F98" i="40" s="1"/>
  <c r="G98" i="40" s="1"/>
  <c r="H98" i="40" s="1"/>
  <c r="I98" i="40" s="1"/>
  <c r="J98" i="40" s="1"/>
  <c r="K98" i="40" s="1"/>
  <c r="L98" i="40" s="1"/>
  <c r="M98" i="40" s="1"/>
  <c r="F10" i="33"/>
  <c r="S10" i="33" s="1"/>
  <c r="F34" i="33"/>
  <c r="S34" i="33"/>
  <c r="H34" i="33"/>
  <c r="F35" i="33"/>
  <c r="AA35" i="33" s="1"/>
  <c r="F39" i="34"/>
  <c r="S39" i="34" s="1"/>
  <c r="J39" i="34"/>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B33" i="36"/>
  <c r="U33" i="36"/>
  <c r="AA39" i="34"/>
  <c r="BL14" i="3"/>
  <c r="U30" i="33"/>
  <c r="AC13" i="34"/>
  <c r="S19" i="39"/>
  <c r="F12" i="33"/>
  <c r="AA12" i="33" s="1"/>
  <c r="H12" i="39"/>
  <c r="AB12" i="39"/>
  <c r="F39" i="40"/>
  <c r="B12" i="1"/>
  <c r="E12" i="1" s="1"/>
  <c r="B10" i="1"/>
  <c r="E10" i="1" s="1"/>
  <c r="K12" i="1"/>
  <c r="M12" i="1" s="1"/>
  <c r="S13" i="1"/>
  <c r="AR13" i="1" s="1"/>
  <c r="R13" i="1"/>
  <c r="J51" i="67"/>
  <c r="C42" i="1"/>
  <c r="AA34" i="33"/>
  <c r="B41" i="1"/>
  <c r="AB37" i="40"/>
  <c r="AC36" i="40"/>
  <c r="S17" i="40"/>
  <c r="S23" i="40"/>
  <c r="AC15" i="40"/>
  <c r="S28" i="40"/>
  <c r="U21" i="40"/>
  <c r="S43" i="39"/>
  <c r="U35" i="39"/>
  <c r="F32" i="39"/>
  <c r="AA32" i="39" s="1"/>
  <c r="F106" i="39"/>
  <c r="G106" i="39" s="1"/>
  <c r="H106" i="39" s="1"/>
  <c r="I106" i="39" s="1"/>
  <c r="J106" i="39" s="1"/>
  <c r="K106" i="39" s="1"/>
  <c r="L106" i="39" s="1"/>
  <c r="M106" i="39" s="1"/>
  <c r="U25" i="39"/>
  <c r="AA12" i="39"/>
  <c r="U14" i="39"/>
  <c r="U12" i="39"/>
  <c r="U26" i="36"/>
  <c r="S33" i="36"/>
  <c r="AC26" i="36"/>
  <c r="AB14" i="36"/>
  <c r="U22" i="36"/>
  <c r="U16" i="36"/>
  <c r="S14" i="36"/>
  <c r="AA25" i="35"/>
  <c r="AB13" i="35"/>
  <c r="U29" i="35"/>
  <c r="U28" i="35"/>
  <c r="AB27" i="35"/>
  <c r="U36" i="35"/>
  <c r="U32" i="35"/>
  <c r="AA33" i="35"/>
  <c r="AC30" i="35"/>
  <c r="AA36" i="35"/>
  <c r="S28" i="35"/>
  <c r="AB16" i="35"/>
  <c r="S22" i="35"/>
  <c r="W13" i="35"/>
  <c r="AB40" i="37"/>
  <c r="W27" i="37"/>
  <c r="AC29" i="37"/>
  <c r="U29" i="37"/>
  <c r="AB31" i="37"/>
  <c r="W30" i="37"/>
  <c r="AC35" i="37"/>
  <c r="W39" i="37"/>
  <c r="S30" i="37"/>
  <c r="S37" i="37"/>
  <c r="J17" i="37"/>
  <c r="AC17" i="37" s="1"/>
  <c r="G73" i="37"/>
  <c r="F17" i="37"/>
  <c r="AA17" i="37" s="1"/>
  <c r="F19" i="37"/>
  <c r="AA19" i="37" s="1"/>
  <c r="F79" i="37"/>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A45" i="34"/>
  <c r="AA25" i="34"/>
  <c r="S17" i="34"/>
  <c r="AA29" i="34"/>
  <c r="U27" i="34"/>
  <c r="S23" i="34"/>
  <c r="U15" i="34"/>
  <c r="H10" i="34"/>
  <c r="AB10" i="34" s="1"/>
  <c r="F11" i="34"/>
  <c r="S11" i="34" s="1"/>
  <c r="F70" i="34"/>
  <c r="G70" i="34" s="1"/>
  <c r="H70" i="34" s="1"/>
  <c r="I70" i="34" s="1"/>
  <c r="J70" i="34" s="1"/>
  <c r="K70" i="34" s="1"/>
  <c r="L70" i="34" s="1"/>
  <c r="M70" i="34" s="1"/>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AB25" i="33" s="1"/>
  <c r="F25" i="33"/>
  <c r="S25" i="33" s="1"/>
  <c r="J23" i="33"/>
  <c r="W23" i="33" s="1"/>
  <c r="H23" i="33"/>
  <c r="U23" i="33" s="1"/>
  <c r="F81" i="33"/>
  <c r="G81" i="33" s="1"/>
  <c r="F19" i="33"/>
  <c r="S19" i="33" s="1"/>
  <c r="J17" i="33"/>
  <c r="W17" i="33" s="1"/>
  <c r="F79" i="33"/>
  <c r="G79" i="33" s="1"/>
  <c r="S15" i="33"/>
  <c r="W15" i="33"/>
  <c r="U9" i="33"/>
  <c r="J10" i="33"/>
  <c r="W10" i="33" s="1"/>
  <c r="H10" i="33"/>
  <c r="U10" i="33" s="1"/>
  <c r="AB14" i="33"/>
  <c r="W41" i="21"/>
  <c r="E85" i="21"/>
  <c r="F85" i="21" s="1"/>
  <c r="G85" i="21" s="1"/>
  <c r="D120" i="9"/>
  <c r="F34" i="67"/>
  <c r="F62" i="67" s="1"/>
  <c r="M20" i="67"/>
  <c r="F34" i="15"/>
  <c r="F62" i="15" s="1"/>
  <c r="BL17" i="3"/>
  <c r="AZ17" i="3"/>
  <c r="BL13" i="3"/>
  <c r="J56" i="9"/>
  <c r="J57" i="9" s="1"/>
  <c r="J59" i="9" s="1"/>
  <c r="J61" i="9" s="1"/>
  <c r="A24" i="51"/>
  <c r="B18" i="72" s="1"/>
  <c r="U29" i="34"/>
  <c r="E19" i="69"/>
  <c r="E19" i="68"/>
  <c r="E19" i="11"/>
  <c r="E1" i="73"/>
  <c r="G26" i="12"/>
  <c r="G22" i="11"/>
  <c r="C6" i="43"/>
  <c r="B19" i="53"/>
  <c r="B37" i="72" s="1"/>
  <c r="C7" i="39"/>
  <c r="C67" i="39" s="1"/>
  <c r="C7" i="35"/>
  <c r="C48" i="35" s="1"/>
  <c r="D48" i="35" s="1"/>
  <c r="C7" i="40"/>
  <c r="C63" i="40" s="1"/>
  <c r="M47" i="9"/>
  <c r="A4" i="51"/>
  <c r="B6" i="72" s="1"/>
  <c r="H67" i="43"/>
  <c r="L20" i="6"/>
  <c r="K11" i="1"/>
  <c r="M11" i="1" s="1"/>
  <c r="O11" i="1" s="1"/>
  <c r="B9" i="1"/>
  <c r="E9" i="1" s="1"/>
  <c r="K7" i="1"/>
  <c r="W23" i="40"/>
  <c r="U32" i="40"/>
  <c r="S37" i="40"/>
  <c r="AB28" i="40"/>
  <c r="W28" i="40"/>
  <c r="W34" i="40"/>
  <c r="S36" i="40"/>
  <c r="W37" i="40"/>
  <c r="AC14" i="40"/>
  <c r="S13" i="40"/>
  <c r="AA15" i="40"/>
  <c r="U11" i="40"/>
  <c r="AB13" i="40"/>
  <c r="U15" i="40"/>
  <c r="AB17" i="40"/>
  <c r="S8" i="40"/>
  <c r="W25" i="39"/>
  <c r="AC25" i="39"/>
  <c r="S13" i="39"/>
  <c r="AA14" i="39"/>
  <c r="U43" i="39"/>
  <c r="AB43" i="39"/>
  <c r="W31" i="39"/>
  <c r="W34" i="39"/>
  <c r="U38" i="39"/>
  <c r="S8" i="39"/>
  <c r="W29" i="36"/>
  <c r="AB28" i="36"/>
  <c r="W22" i="36"/>
  <c r="AB20" i="35"/>
  <c r="AC25" i="35"/>
  <c r="U25" i="35"/>
  <c r="S24" i="35"/>
  <c r="AA16" i="35"/>
  <c r="AA35" i="37"/>
  <c r="S27" i="37"/>
  <c r="S40" i="37"/>
  <c r="AB37" i="37"/>
  <c r="AC34" i="37"/>
  <c r="AB35" i="37"/>
  <c r="AA31" i="37"/>
  <c r="AA29" i="37"/>
  <c r="U8" i="37"/>
  <c r="AA40" i="34"/>
  <c r="W19" i="34"/>
  <c r="AA30" i="34"/>
  <c r="AB45" i="34"/>
  <c r="AB36" i="34"/>
  <c r="W33" i="34"/>
  <c r="AC29" i="34"/>
  <c r="W46" i="34"/>
  <c r="AC46" i="34"/>
  <c r="U38" i="34"/>
  <c r="AC40" i="34"/>
  <c r="W40" i="34"/>
  <c r="AA19" i="34"/>
  <c r="S19" i="34"/>
  <c r="AA36" i="34"/>
  <c r="S36" i="34"/>
  <c r="S8" i="34"/>
  <c r="AC43" i="34"/>
  <c r="W43" i="34"/>
  <c r="W23" i="34"/>
  <c r="AC23" i="34"/>
  <c r="AC35" i="34"/>
  <c r="W35" i="34"/>
  <c r="U12" i="34"/>
  <c r="AB12" i="34"/>
  <c r="AC37" i="33"/>
  <c r="U39" i="33"/>
  <c r="U38" i="33"/>
  <c r="S33" i="33"/>
  <c r="U44" i="33"/>
  <c r="AB44" i="33"/>
  <c r="S30" i="33"/>
  <c r="AC14" i="33"/>
  <c r="W14" i="33"/>
  <c r="AC30" i="33"/>
  <c r="W30" i="33"/>
  <c r="S31" i="33"/>
  <c r="AA31" i="33"/>
  <c r="W13" i="33"/>
  <c r="U15" i="33"/>
  <c r="S11" i="33"/>
  <c r="U37" i="33"/>
  <c r="W9" i="33"/>
  <c r="I101" i="21"/>
  <c r="J101" i="21" s="1"/>
  <c r="K101" i="21" s="1"/>
  <c r="L101" i="21" s="1"/>
  <c r="M101" i="21" s="1"/>
  <c r="F33" i="21"/>
  <c r="AA33" i="21" s="1"/>
  <c r="J33" i="21"/>
  <c r="AC33" i="21" s="1"/>
  <c r="H33" i="21"/>
  <c r="AB33" i="21" s="1"/>
  <c r="AA26" i="21"/>
  <c r="AB14" i="21"/>
  <c r="U13" i="21"/>
  <c r="AB13" i="21"/>
  <c r="AC14" i="21"/>
  <c r="W30" i="21"/>
  <c r="F29" i="21"/>
  <c r="S29" i="21" s="1"/>
  <c r="F13" i="21"/>
  <c r="AA13" i="21" s="1"/>
  <c r="H32" i="21"/>
  <c r="AB32" i="21" s="1"/>
  <c r="H9" i="21"/>
  <c r="U9" i="21" s="1"/>
  <c r="J32" i="21"/>
  <c r="W32" i="21" s="1"/>
  <c r="F32" i="21"/>
  <c r="AA32" i="21" s="1"/>
  <c r="AA31" i="21"/>
  <c r="K141" i="21"/>
  <c r="K144" i="21"/>
  <c r="K143" i="21"/>
  <c r="U27" i="21"/>
  <c r="AB25" i="21"/>
  <c r="AA30" i="21"/>
  <c r="W13" i="21"/>
  <c r="F10" i="21"/>
  <c r="AA10" i="21" s="1"/>
  <c r="K145" i="21"/>
  <c r="W31" i="21"/>
  <c r="S27" i="21"/>
  <c r="AC26" i="21"/>
  <c r="S28" i="21"/>
  <c r="AC34" i="21"/>
  <c r="C19" i="39"/>
  <c r="C15" i="40"/>
  <c r="C17" i="40"/>
  <c r="C23" i="40"/>
  <c r="C21" i="40"/>
  <c r="B56" i="43"/>
  <c r="B67" i="43"/>
  <c r="B58" i="43"/>
  <c r="B62" i="43"/>
  <c r="B69" i="43"/>
  <c r="D23" i="15"/>
  <c r="D22" i="15"/>
  <c r="E4" i="4"/>
  <c r="B5" i="62" s="1"/>
  <c r="B73" i="72" s="1"/>
  <c r="C4" i="4"/>
  <c r="F30" i="68"/>
  <c r="F48" i="68" s="1"/>
  <c r="S12" i="33"/>
  <c r="J32" i="39"/>
  <c r="AC32" i="39" s="1"/>
  <c r="H32" i="39"/>
  <c r="AB32" i="39" s="1"/>
  <c r="S32" i="39"/>
  <c r="S17" i="37"/>
  <c r="J19" i="37"/>
  <c r="AC19" i="37" s="1"/>
  <c r="G75"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U27" i="33"/>
  <c r="J27" i="33"/>
  <c r="AC27" i="33" s="1"/>
  <c r="AA25" i="33"/>
  <c r="G87" i="33"/>
  <c r="H87" i="33" s="1"/>
  <c r="I87" i="33" s="1"/>
  <c r="J87" i="33" s="1"/>
  <c r="K87" i="33" s="1"/>
  <c r="L87" i="33" s="1"/>
  <c r="M87" i="33" s="1"/>
  <c r="J25" i="33"/>
  <c r="W25" i="33" s="1"/>
  <c r="F23" i="33"/>
  <c r="S23" i="33" s="1"/>
  <c r="AA19" i="33"/>
  <c r="H19" i="33"/>
  <c r="AB19" i="33" s="1"/>
  <c r="H17" i="33"/>
  <c r="U17" i="33" s="1"/>
  <c r="F17" i="33"/>
  <c r="S17" i="33" s="1"/>
  <c r="AP7" i="1"/>
  <c r="U32" i="39"/>
  <c r="AC23" i="37"/>
  <c r="J11" i="37"/>
  <c r="AC11" i="37" s="1"/>
  <c r="J11" i="34"/>
  <c r="W11" i="34" s="1"/>
  <c r="AA17" i="33"/>
  <c r="H109" i="9"/>
  <c r="M49" i="9" s="1"/>
  <c r="H112" i="9"/>
  <c r="D21" i="53" s="1"/>
  <c r="B39" i="72" s="1"/>
  <c r="H111" i="9"/>
  <c r="D126" i="9" s="1"/>
  <c r="AD3" i="71"/>
  <c r="J1" i="73"/>
  <c r="H69" i="43"/>
  <c r="C24" i="12"/>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B7" i="76"/>
  <c r="E8" i="76"/>
  <c r="F3" i="73"/>
  <c r="E10" i="76"/>
  <c r="AO13" i="1"/>
  <c r="F7" i="73"/>
  <c r="E13" i="76"/>
  <c r="F20" i="31"/>
  <c r="B11" i="76"/>
  <c r="E2" i="69"/>
  <c r="E7" i="76"/>
  <c r="D4" i="73"/>
  <c r="E2" i="68"/>
  <c r="D3" i="73"/>
  <c r="F6" i="73"/>
  <c r="B9" i="76"/>
  <c r="F5" i="73"/>
  <c r="B8" i="76"/>
  <c r="E9" i="76"/>
  <c r="B12" i="76"/>
  <c r="E11" i="76"/>
  <c r="D5" i="73"/>
  <c r="E12" i="76"/>
  <c r="B10" i="76"/>
  <c r="B13" i="76"/>
  <c r="C18" i="9" l="1"/>
  <c r="D18" i="9" s="1"/>
  <c r="AB46" i="21"/>
  <c r="S46" i="21"/>
  <c r="AZ552" i="3"/>
  <c r="AZ506" i="3"/>
  <c r="S35" i="35"/>
  <c r="AA35" i="35"/>
  <c r="J27" i="39"/>
  <c r="AC27" i="39" s="1"/>
  <c r="S12" i="35"/>
  <c r="AA12" i="35"/>
  <c r="U12" i="33"/>
  <c r="AB12" i="33"/>
  <c r="AA26" i="37"/>
  <c r="S26" i="37"/>
  <c r="S12" i="21"/>
  <c r="AA12" i="21"/>
  <c r="J32" i="34"/>
  <c r="H32" i="34"/>
  <c r="J38" i="37"/>
  <c r="H38" i="37"/>
  <c r="BA537" i="3"/>
  <c r="W27" i="33"/>
  <c r="AC27" i="21"/>
  <c r="S37" i="34"/>
  <c r="U36" i="37"/>
  <c r="AA37" i="33"/>
  <c r="W17" i="37"/>
  <c r="AA11" i="35"/>
  <c r="S23" i="35"/>
  <c r="S16" i="36"/>
  <c r="AA26" i="36"/>
  <c r="AC13" i="39"/>
  <c r="U31" i="39"/>
  <c r="F48" i="9"/>
  <c r="O52" i="9" s="1"/>
  <c r="F28" i="92"/>
  <c r="C28" i="92" s="1"/>
  <c r="D68" i="90"/>
  <c r="F52" i="90"/>
  <c r="F48" i="88"/>
  <c r="O52" i="88" s="1"/>
  <c r="F54" i="90"/>
  <c r="F53" i="88"/>
  <c r="F32" i="92"/>
  <c r="F60" i="92" s="1"/>
  <c r="M18" i="92"/>
  <c r="F48" i="90"/>
  <c r="O52" i="90" s="1"/>
  <c r="D68" i="88"/>
  <c r="F52" i="88"/>
  <c r="F32" i="87"/>
  <c r="F60" i="87" s="1"/>
  <c r="M18" i="87"/>
  <c r="F54" i="88"/>
  <c r="F28" i="87"/>
  <c r="C28" i="87" s="1"/>
  <c r="F30" i="91"/>
  <c r="F53" i="90"/>
  <c r="F30" i="89"/>
  <c r="AC12" i="33"/>
  <c r="AB35" i="40"/>
  <c r="AZ310" i="3"/>
  <c r="AZ389" i="3"/>
  <c r="AZ372" i="3"/>
  <c r="AZ356" i="3"/>
  <c r="AZ344" i="3"/>
  <c r="AZ304" i="3"/>
  <c r="AZ378" i="3"/>
  <c r="AZ371" i="3"/>
  <c r="W40" i="37"/>
  <c r="W23" i="35"/>
  <c r="F31" i="40"/>
  <c r="BL499" i="3"/>
  <c r="BL521" i="3"/>
  <c r="BL551" i="3"/>
  <c r="AZ560" i="3"/>
  <c r="AC45" i="39"/>
  <c r="AA13" i="35"/>
  <c r="AB46" i="34"/>
  <c r="U46" i="34"/>
  <c r="S29" i="35"/>
  <c r="AA29" i="35"/>
  <c r="U40" i="33"/>
  <c r="S34" i="21"/>
  <c r="W33" i="33"/>
  <c r="AA41" i="21"/>
  <c r="J12" i="21"/>
  <c r="H12" i="21"/>
  <c r="G69" i="21"/>
  <c r="F11" i="21"/>
  <c r="S11" i="21" s="1"/>
  <c r="AB31" i="35"/>
  <c r="J24" i="35"/>
  <c r="H24" i="35"/>
  <c r="F13" i="36"/>
  <c r="H13" i="36"/>
  <c r="J24" i="36"/>
  <c r="F24" i="36"/>
  <c r="AA24" i="36" s="1"/>
  <c r="H45" i="39"/>
  <c r="F45" i="39"/>
  <c r="AB36" i="33"/>
  <c r="J23" i="21"/>
  <c r="AC23" i="21" s="1"/>
  <c r="B54" i="43"/>
  <c r="W8" i="33"/>
  <c r="W46" i="33"/>
  <c r="AA46" i="34"/>
  <c r="AB30" i="34"/>
  <c r="AB33" i="34"/>
  <c r="W32" i="37"/>
  <c r="S20" i="36"/>
  <c r="W27" i="40"/>
  <c r="BL509" i="3"/>
  <c r="AZ563" i="3"/>
  <c r="F45" i="33"/>
  <c r="AB17" i="34"/>
  <c r="U33" i="35"/>
  <c r="F27" i="39"/>
  <c r="AA27" i="39" s="1"/>
  <c r="E100" i="39"/>
  <c r="F100" i="39" s="1"/>
  <c r="S39" i="37"/>
  <c r="AA39" i="37"/>
  <c r="F28" i="34"/>
  <c r="AA28" i="34" s="1"/>
  <c r="J28" i="34"/>
  <c r="F25" i="36"/>
  <c r="AA25" i="36" s="1"/>
  <c r="H25" i="36"/>
  <c r="H26" i="37"/>
  <c r="J26" i="37"/>
  <c r="AC26" i="37" s="1"/>
  <c r="BA556" i="3"/>
  <c r="BL547" i="3"/>
  <c r="BA546" i="3"/>
  <c r="BA545" i="3"/>
  <c r="BL544" i="3"/>
  <c r="BA544" i="3"/>
  <c r="BR5" i="3"/>
  <c r="BA543" i="3"/>
  <c r="BL542" i="3"/>
  <c r="AZ542" i="3" s="1"/>
  <c r="BL540" i="3"/>
  <c r="BL539" i="3"/>
  <c r="AZ539" i="3" s="1"/>
  <c r="BA539" i="3"/>
  <c r="BL538" i="3"/>
  <c r="BA538" i="3"/>
  <c r="BI5" i="3"/>
  <c r="BL536" i="3"/>
  <c r="BA536" i="3"/>
  <c r="AC5" i="3"/>
  <c r="G536" i="3"/>
  <c r="BL535" i="3"/>
  <c r="BA535" i="3"/>
  <c r="BM5" i="3"/>
  <c r="BL534" i="3"/>
  <c r="BA534" i="3"/>
  <c r="BL532" i="3"/>
  <c r="BL531" i="3"/>
  <c r="BA531" i="3"/>
  <c r="BA530" i="3"/>
  <c r="BA529" i="3"/>
  <c r="BA528" i="3"/>
  <c r="BL526" i="3"/>
  <c r="BL524" i="3"/>
  <c r="AZ524" i="3" s="1"/>
  <c r="BL523" i="3"/>
  <c r="BA523" i="3"/>
  <c r="BL522" i="3"/>
  <c r="BL520" i="3"/>
  <c r="BA520" i="3"/>
  <c r="BA519" i="3"/>
  <c r="BL518" i="3"/>
  <c r="BA518" i="3"/>
  <c r="BA517" i="3"/>
  <c r="BL516" i="3"/>
  <c r="BL515" i="3"/>
  <c r="BL514" i="3"/>
  <c r="BA514" i="3"/>
  <c r="BA512" i="3"/>
  <c r="BL511" i="3"/>
  <c r="BA511" i="3"/>
  <c r="BA510" i="3"/>
  <c r="BA509" i="3"/>
  <c r="AZ509" i="3" s="1"/>
  <c r="BA507" i="3"/>
  <c r="BL504" i="3"/>
  <c r="BA504" i="3"/>
  <c r="BT5" i="3"/>
  <c r="BA503" i="3"/>
  <c r="BL502" i="3"/>
  <c r="BF5" i="3"/>
  <c r="BA502" i="3"/>
  <c r="BL500" i="3"/>
  <c r="BA499" i="3"/>
  <c r="BL498" i="3"/>
  <c r="BH5" i="3"/>
  <c r="BA498" i="3"/>
  <c r="BL496" i="3"/>
  <c r="BG5" i="3"/>
  <c r="BA496" i="3"/>
  <c r="AZ496" i="3" s="1"/>
  <c r="BA495" i="3"/>
  <c r="BA494" i="3"/>
  <c r="BN5" i="3"/>
  <c r="BA493" i="3"/>
  <c r="AZ327" i="3"/>
  <c r="AC11" i="40"/>
  <c r="W11" i="40"/>
  <c r="BA586" i="3"/>
  <c r="E115" i="21"/>
  <c r="F115" i="21" s="1"/>
  <c r="G115" i="21" s="1"/>
  <c r="H115" i="21" s="1"/>
  <c r="I115" i="21" s="1"/>
  <c r="J115" i="21" s="1"/>
  <c r="K115" i="21" s="1"/>
  <c r="L115" i="21" s="1"/>
  <c r="M115" i="21" s="1"/>
  <c r="H38" i="21"/>
  <c r="U38" i="21" s="1"/>
  <c r="AC44" i="34"/>
  <c r="S14" i="35"/>
  <c r="AZ379" i="3"/>
  <c r="W19" i="37"/>
  <c r="AC23" i="33"/>
  <c r="S36" i="33"/>
  <c r="AB41" i="33"/>
  <c r="AA23" i="37"/>
  <c r="B65" i="43"/>
  <c r="B51" i="43"/>
  <c r="AB29" i="21"/>
  <c r="U8" i="40"/>
  <c r="AB31" i="40"/>
  <c r="AA14" i="21"/>
  <c r="AC11" i="33"/>
  <c r="W42" i="33"/>
  <c r="AC15" i="37"/>
  <c r="U22" i="35"/>
  <c r="S32" i="35"/>
  <c r="S9" i="39"/>
  <c r="U37" i="39"/>
  <c r="AC17" i="40"/>
  <c r="C77" i="88"/>
  <c r="C74" i="88" s="1"/>
  <c r="C77" i="90"/>
  <c r="C74" i="90" s="1"/>
  <c r="U12" i="40"/>
  <c r="AZ334" i="3"/>
  <c r="AZ318" i="3"/>
  <c r="AZ355" i="3"/>
  <c r="AZ351" i="3"/>
  <c r="AZ394" i="3"/>
  <c r="AZ345" i="3"/>
  <c r="AZ325" i="3"/>
  <c r="AC45" i="33"/>
  <c r="AZ578" i="3"/>
  <c r="H13" i="39"/>
  <c r="F28" i="37"/>
  <c r="F32" i="34"/>
  <c r="U45" i="33"/>
  <c r="U23" i="40"/>
  <c r="AB30" i="36"/>
  <c r="AB39" i="37"/>
  <c r="U39" i="37"/>
  <c r="U30" i="37"/>
  <c r="J29" i="21"/>
  <c r="H44" i="21"/>
  <c r="U44" i="21" s="1"/>
  <c r="J44" i="21"/>
  <c r="AC44" i="21" s="1"/>
  <c r="B75" i="43"/>
  <c r="J9" i="34"/>
  <c r="F44" i="33"/>
  <c r="J44" i="33"/>
  <c r="H31" i="34"/>
  <c r="F31" i="34"/>
  <c r="F47" i="34"/>
  <c r="J47" i="34"/>
  <c r="H23" i="35"/>
  <c r="AA27" i="35"/>
  <c r="S27" i="35"/>
  <c r="BL513" i="3"/>
  <c r="BL525" i="3"/>
  <c r="BL555" i="3"/>
  <c r="AZ555" i="3" s="1"/>
  <c r="H40" i="40"/>
  <c r="F40" i="40"/>
  <c r="AA40" i="40" s="1"/>
  <c r="BA581" i="3"/>
  <c r="BL580" i="3"/>
  <c r="BL577" i="3"/>
  <c r="BA575" i="3"/>
  <c r="BL574" i="3"/>
  <c r="BA574" i="3"/>
  <c r="AZ574" i="3" s="1"/>
  <c r="BA573" i="3"/>
  <c r="BL572" i="3"/>
  <c r="BA571" i="3"/>
  <c r="BA570" i="3"/>
  <c r="G558" i="3"/>
  <c r="E19" i="89"/>
  <c r="E19" i="91"/>
  <c r="BA14" i="3"/>
  <c r="BD5" i="3"/>
  <c r="F34" i="68"/>
  <c r="F34" i="91"/>
  <c r="F34" i="89"/>
  <c r="G552" i="3"/>
  <c r="BC5" i="3"/>
  <c r="BA398" i="3"/>
  <c r="BL410" i="3"/>
  <c r="BL414" i="3"/>
  <c r="G416" i="3"/>
  <c r="BA416" i="3"/>
  <c r="BA424" i="3"/>
  <c r="BA436" i="3"/>
  <c r="AZ436" i="3" s="1"/>
  <c r="BL436" i="3"/>
  <c r="BL445" i="3"/>
  <c r="G446" i="3"/>
  <c r="BA446" i="3"/>
  <c r="BA457" i="3"/>
  <c r="BA464" i="3"/>
  <c r="BL472" i="3"/>
  <c r="BA473" i="3"/>
  <c r="BL476" i="3"/>
  <c r="BL477" i="3"/>
  <c r="BA478" i="3"/>
  <c r="G307" i="3"/>
  <c r="BL324" i="3"/>
  <c r="AZ324" i="3" s="1"/>
  <c r="BA331" i="3"/>
  <c r="AZ331" i="3" s="1"/>
  <c r="BL340" i="3"/>
  <c r="AZ340" i="3" s="1"/>
  <c r="BL367" i="3"/>
  <c r="BA209" i="3"/>
  <c r="BL212" i="3"/>
  <c r="BA213" i="3"/>
  <c r="BL220" i="3"/>
  <c r="BL225" i="3"/>
  <c r="BL231" i="3"/>
  <c r="BA232" i="3"/>
  <c r="BL235" i="3"/>
  <c r="G253" i="3"/>
  <c r="BA253" i="3"/>
  <c r="BL255" i="3"/>
  <c r="BL256" i="3"/>
  <c r="BA258" i="3"/>
  <c r="BL260" i="3"/>
  <c r="G263" i="3"/>
  <c r="G268" i="3"/>
  <c r="BA268" i="3"/>
  <c r="BL270" i="3"/>
  <c r="BL271" i="3"/>
  <c r="BL272" i="3"/>
  <c r="BL275" i="3"/>
  <c r="BA281" i="3"/>
  <c r="BL285" i="3"/>
  <c r="G120" i="3"/>
  <c r="G186" i="3"/>
  <c r="BL15" i="3"/>
  <c r="AZ15" i="3" s="1"/>
  <c r="G41" i="69"/>
  <c r="G41" i="91"/>
  <c r="G22" i="91"/>
  <c r="G41" i="89"/>
  <c r="G22" i="89"/>
  <c r="BA404" i="3"/>
  <c r="BA408" i="3"/>
  <c r="BA415" i="3"/>
  <c r="BL417" i="3"/>
  <c r="BL421" i="3"/>
  <c r="BL425" i="3"/>
  <c r="G427" i="3"/>
  <c r="BA427" i="3"/>
  <c r="BL435" i="3"/>
  <c r="BA438" i="3"/>
  <c r="AZ438" i="3" s="1"/>
  <c r="G439" i="3"/>
  <c r="BL442" i="3"/>
  <c r="BL443" i="3"/>
  <c r="BL444" i="3"/>
  <c r="G450" i="3"/>
  <c r="G455" i="3"/>
  <c r="BA455" i="3"/>
  <c r="G463" i="3"/>
  <c r="BA463" i="3"/>
  <c r="BA467" i="3"/>
  <c r="BL470" i="3"/>
  <c r="G477" i="3"/>
  <c r="BA477" i="3"/>
  <c r="G492" i="3"/>
  <c r="BA492" i="3"/>
  <c r="BL317" i="3"/>
  <c r="BA384" i="3"/>
  <c r="AZ384" i="3" s="1"/>
  <c r="BA208" i="3"/>
  <c r="BL208" i="3"/>
  <c r="G227" i="3"/>
  <c r="BL239" i="3"/>
  <c r="BA244" i="3"/>
  <c r="BL250" i="3"/>
  <c r="BL251" i="3"/>
  <c r="BL252" i="3"/>
  <c r="BL258" i="3"/>
  <c r="BL265" i="3"/>
  <c r="BL266" i="3"/>
  <c r="BL267" i="3"/>
  <c r="BL280" i="3"/>
  <c r="BL283" i="3"/>
  <c r="BL159" i="3"/>
  <c r="AZ159" i="3" s="1"/>
  <c r="G566" i="3"/>
  <c r="M20" i="15"/>
  <c r="F34" i="92"/>
  <c r="F62" i="92" s="1"/>
  <c r="M20" i="87"/>
  <c r="F34" i="87"/>
  <c r="F62" i="87" s="1"/>
  <c r="M20" i="92"/>
  <c r="D78" i="9"/>
  <c r="D93" i="90"/>
  <c r="D78" i="90"/>
  <c r="D93" i="88"/>
  <c r="D78" i="88"/>
  <c r="BL398" i="3"/>
  <c r="BL399" i="3"/>
  <c r="G400" i="3"/>
  <c r="BL400" i="3"/>
  <c r="BL404" i="3"/>
  <c r="G406" i="3"/>
  <c r="BA406" i="3"/>
  <c r="G409" i="3"/>
  <c r="G417" i="3"/>
  <c r="BL420" i="3"/>
  <c r="G421" i="3"/>
  <c r="G425" i="3"/>
  <c r="BA426" i="3"/>
  <c r="BL428" i="3"/>
  <c r="G429" i="3"/>
  <c r="G430" i="3"/>
  <c r="BA430" i="3"/>
  <c r="BL433" i="3"/>
  <c r="G434" i="3"/>
  <c r="BL434" i="3"/>
  <c r="BA439" i="3"/>
  <c r="G441" i="3"/>
  <c r="BL453" i="3"/>
  <c r="G454" i="3"/>
  <c r="BA454" i="3"/>
  <c r="G457" i="3"/>
  <c r="BA462" i="3"/>
  <c r="BA466" i="3"/>
  <c r="BL468" i="3"/>
  <c r="G469" i="3"/>
  <c r="G474" i="3"/>
  <c r="G479" i="3"/>
  <c r="G485" i="3"/>
  <c r="BL489" i="3"/>
  <c r="G490" i="3"/>
  <c r="BL490" i="3"/>
  <c r="BA491" i="3"/>
  <c r="G313" i="3"/>
  <c r="G339" i="3"/>
  <c r="G343" i="3"/>
  <c r="G347" i="3"/>
  <c r="BL350" i="3"/>
  <c r="BL359" i="3"/>
  <c r="AZ359" i="3" s="1"/>
  <c r="BL363" i="3"/>
  <c r="AZ363" i="3" s="1"/>
  <c r="G369" i="3"/>
  <c r="G374" i="3"/>
  <c r="BA385" i="3"/>
  <c r="AZ385" i="3" s="1"/>
  <c r="G387" i="3"/>
  <c r="BA388" i="3"/>
  <c r="AZ388" i="3" s="1"/>
  <c r="G395" i="3"/>
  <c r="G210" i="3"/>
  <c r="BL214" i="3"/>
  <c r="BA215" i="3"/>
  <c r="G218" i="3"/>
  <c r="G224" i="3"/>
  <c r="BA226" i="3"/>
  <c r="G229" i="3"/>
  <c r="BL233" i="3"/>
  <c r="BA234" i="3"/>
  <c r="G238" i="3"/>
  <c r="G243" i="3"/>
  <c r="BA243" i="3"/>
  <c r="BA288" i="3"/>
  <c r="BL170" i="3"/>
  <c r="BA299" i="3"/>
  <c r="BL114" i="3"/>
  <c r="BA116" i="3"/>
  <c r="AZ116" i="3" s="1"/>
  <c r="BA153" i="3"/>
  <c r="AZ153" i="3" s="1"/>
  <c r="BA162" i="3"/>
  <c r="G184" i="3"/>
  <c r="BL187" i="3"/>
  <c r="AZ187" i="3" s="1"/>
  <c r="BL191" i="3"/>
  <c r="AZ191" i="3" s="1"/>
  <c r="BA198" i="3"/>
  <c r="BL201" i="3"/>
  <c r="BL20" i="3"/>
  <c r="BL21" i="3"/>
  <c r="BA32" i="3"/>
  <c r="BL35" i="3"/>
  <c r="BA36" i="3"/>
  <c r="AZ36" i="3" s="1"/>
  <c r="G46" i="3"/>
  <c r="G54" i="3"/>
  <c r="BL57" i="3"/>
  <c r="BA59" i="3"/>
  <c r="BA64" i="3"/>
  <c r="BL72" i="3"/>
  <c r="G74" i="3"/>
  <c r="BL90" i="3"/>
  <c r="BL100" i="3"/>
  <c r="G102" i="3"/>
  <c r="BA102" i="3"/>
  <c r="G106" i="3"/>
  <c r="BA106" i="3"/>
  <c r="BL108" i="3"/>
  <c r="G1" i="89"/>
  <c r="G1" i="87"/>
  <c r="P27" i="6"/>
  <c r="D36" i="71"/>
  <c r="C83" i="71"/>
  <c r="AB30" i="71"/>
  <c r="AB39" i="71"/>
  <c r="S76" i="71"/>
  <c r="B79" i="71"/>
  <c r="B78" i="71" s="1"/>
  <c r="M56" i="9"/>
  <c r="M56" i="90"/>
  <c r="J56" i="88"/>
  <c r="J57" i="88" s="1"/>
  <c r="J59" i="88" s="1"/>
  <c r="J61" i="88" s="1"/>
  <c r="K56" i="90"/>
  <c r="N56" i="88"/>
  <c r="J56" i="90"/>
  <c r="J57" i="90" s="1"/>
  <c r="J59" i="90" s="1"/>
  <c r="J61" i="90" s="1"/>
  <c r="M56" i="88"/>
  <c r="K56" i="88"/>
  <c r="N56" i="90"/>
  <c r="B22" i="71"/>
  <c r="B21" i="71" s="1"/>
  <c r="B20" i="71" s="1"/>
  <c r="BL240" i="3"/>
  <c r="G241" i="3"/>
  <c r="BL241" i="3"/>
  <c r="BL242" i="3"/>
  <c r="BL245" i="3"/>
  <c r="G254" i="3"/>
  <c r="G255" i="3"/>
  <c r="BL257" i="3"/>
  <c r="G258" i="3"/>
  <c r="G269" i="3"/>
  <c r="G270" i="3"/>
  <c r="BA274" i="3"/>
  <c r="G279" i="3"/>
  <c r="BA279" i="3"/>
  <c r="G282" i="3"/>
  <c r="BL286" i="3"/>
  <c r="G287" i="3"/>
  <c r="BL287" i="3"/>
  <c r="G293" i="3"/>
  <c r="BL293" i="3"/>
  <c r="G298" i="3"/>
  <c r="BA298" i="3"/>
  <c r="BA113" i="3"/>
  <c r="G116" i="3"/>
  <c r="BL119" i="3"/>
  <c r="AZ119" i="3" s="1"/>
  <c r="G140" i="3"/>
  <c r="G146" i="3"/>
  <c r="BA146" i="3"/>
  <c r="BL150" i="3"/>
  <c r="G154" i="3"/>
  <c r="BA170" i="3"/>
  <c r="G187" i="3"/>
  <c r="BA197" i="3"/>
  <c r="G205" i="3"/>
  <c r="BA207" i="3"/>
  <c r="BA18" i="3"/>
  <c r="AZ18" i="3" s="1"/>
  <c r="BL24" i="3"/>
  <c r="G25" i="3"/>
  <c r="G26" i="3"/>
  <c r="G27" i="3"/>
  <c r="BL29" i="3"/>
  <c r="BL34" i="3"/>
  <c r="BL38" i="3"/>
  <c r="BA45" i="3"/>
  <c r="G48" i="3"/>
  <c r="BL51" i="3"/>
  <c r="G52" i="3"/>
  <c r="G61" i="3"/>
  <c r="BL67" i="3"/>
  <c r="BA68" i="3"/>
  <c r="G72" i="3"/>
  <c r="G81" i="3"/>
  <c r="G90" i="3"/>
  <c r="G95" i="3"/>
  <c r="G101" i="3"/>
  <c r="BA101" i="3"/>
  <c r="G104" i="3"/>
  <c r="G108" i="3"/>
  <c r="C7" i="33"/>
  <c r="M47" i="90"/>
  <c r="M47" i="88"/>
  <c r="J51" i="92"/>
  <c r="J51" i="87"/>
  <c r="AB21" i="33"/>
  <c r="AB37" i="71"/>
  <c r="N68" i="71"/>
  <c r="AB34" i="71"/>
  <c r="AA34" i="71"/>
  <c r="B40" i="71"/>
  <c r="S40" i="71" s="1"/>
  <c r="F40" i="71"/>
  <c r="V40" i="71" s="1"/>
  <c r="E43" i="71"/>
  <c r="E44" i="71" s="1"/>
  <c r="U44" i="71" s="1"/>
  <c r="F79" i="71"/>
  <c r="F78" i="71" s="1"/>
  <c r="C23" i="71"/>
  <c r="BL277" i="3"/>
  <c r="BL278" i="3"/>
  <c r="BA282" i="3"/>
  <c r="G292" i="3"/>
  <c r="BA301" i="3"/>
  <c r="G119" i="3"/>
  <c r="BA138" i="3"/>
  <c r="G139" i="3"/>
  <c r="BL145" i="3"/>
  <c r="BL147" i="3"/>
  <c r="AZ147" i="3" s="1"/>
  <c r="G148" i="3"/>
  <c r="G159" i="3"/>
  <c r="BL165" i="3"/>
  <c r="G166" i="3"/>
  <c r="BA168" i="3"/>
  <c r="AZ168" i="3" s="1"/>
  <c r="G170" i="3"/>
  <c r="BA173" i="3"/>
  <c r="BA178" i="3"/>
  <c r="BL182" i="3"/>
  <c r="BL189" i="3"/>
  <c r="BL194" i="3"/>
  <c r="BA196" i="3"/>
  <c r="AZ196" i="3" s="1"/>
  <c r="G204" i="3"/>
  <c r="BA205" i="3"/>
  <c r="G19" i="3"/>
  <c r="BL23" i="3"/>
  <c r="G24" i="3"/>
  <c r="BL28" i="3"/>
  <c r="BL36" i="3"/>
  <c r="G43" i="3"/>
  <c r="BL43" i="3"/>
  <c r="BA44" i="3"/>
  <c r="G51" i="3"/>
  <c r="BA53" i="3"/>
  <c r="G55" i="3"/>
  <c r="BA57" i="3"/>
  <c r="G60" i="3"/>
  <c r="BL64" i="3"/>
  <c r="G66" i="3"/>
  <c r="BA67" i="3"/>
  <c r="AZ67" i="3" s="1"/>
  <c r="G71" i="3"/>
  <c r="BA77" i="3"/>
  <c r="BL84" i="3"/>
  <c r="AZ84" i="3" s="1"/>
  <c r="BL87" i="3"/>
  <c r="BL88" i="3"/>
  <c r="BA92" i="3"/>
  <c r="BL97" i="3"/>
  <c r="G99" i="3"/>
  <c r="BL99" i="3"/>
  <c r="G103" i="3"/>
  <c r="BA105" i="3"/>
  <c r="BA108" i="3"/>
  <c r="C51" i="10"/>
  <c r="A118" i="90"/>
  <c r="A2" i="90"/>
  <c r="A118" i="88"/>
  <c r="A2" i="88"/>
  <c r="U21" i="34"/>
  <c r="S25" i="40"/>
  <c r="C86" i="71"/>
  <c r="D86" i="71" s="1"/>
  <c r="F28" i="71"/>
  <c r="F27" i="71" s="1"/>
  <c r="F26" i="71" s="1"/>
  <c r="D34" i="71"/>
  <c r="X27" i="71"/>
  <c r="Y28" i="71"/>
  <c r="Z28" i="71" s="1"/>
  <c r="Y32" i="71"/>
  <c r="Z32" i="71" s="1"/>
  <c r="AB35" i="71"/>
  <c r="B8" i="1"/>
  <c r="E8" i="1" s="1"/>
  <c r="G1" i="92"/>
  <c r="G1" i="91"/>
  <c r="M8" i="1"/>
  <c r="AH19" i="1"/>
  <c r="M7" i="1"/>
  <c r="H5" i="3"/>
  <c r="AZ14" i="3"/>
  <c r="G13" i="3"/>
  <c r="G14" i="3"/>
  <c r="AC38" i="39"/>
  <c r="S38" i="39"/>
  <c r="AB11" i="33"/>
  <c r="U11" i="33"/>
  <c r="AA23" i="33"/>
  <c r="W32" i="39"/>
  <c r="AA29" i="21"/>
  <c r="AZ357" i="3"/>
  <c r="AB19" i="37"/>
  <c r="U19" i="37"/>
  <c r="S32" i="40"/>
  <c r="AA32" i="40"/>
  <c r="AA36" i="37"/>
  <c r="S36" i="37"/>
  <c r="U41" i="34"/>
  <c r="AB41" i="34"/>
  <c r="AZ513" i="3"/>
  <c r="AZ579" i="3"/>
  <c r="AC36" i="37"/>
  <c r="W36" i="37"/>
  <c r="AB28" i="21"/>
  <c r="U28" i="21"/>
  <c r="AC9" i="36"/>
  <c r="W9" i="36"/>
  <c r="U28" i="37"/>
  <c r="AB28" i="37"/>
  <c r="BL573" i="3"/>
  <c r="AZ573" i="3" s="1"/>
  <c r="AZ547" i="3"/>
  <c r="AZ544" i="3"/>
  <c r="AZ538" i="3"/>
  <c r="AZ536" i="3"/>
  <c r="AZ534" i="3"/>
  <c r="AZ528" i="3"/>
  <c r="AZ520" i="3"/>
  <c r="AZ519" i="3"/>
  <c r="AZ514" i="3"/>
  <c r="AZ507" i="3"/>
  <c r="AZ504" i="3"/>
  <c r="AZ502" i="3"/>
  <c r="AZ499" i="3"/>
  <c r="AZ498" i="3"/>
  <c r="S22" i="36"/>
  <c r="AA22" i="36"/>
  <c r="U47" i="34"/>
  <c r="AB47" i="34"/>
  <c r="U25" i="33"/>
  <c r="W25" i="21"/>
  <c r="D121" i="9"/>
  <c r="D7" i="52" s="1"/>
  <c r="D6" i="52"/>
  <c r="AA39" i="40"/>
  <c r="S39" i="40"/>
  <c r="U34" i="33"/>
  <c r="AB34" i="33"/>
  <c r="AB32" i="37"/>
  <c r="U32" i="37"/>
  <c r="W20" i="36"/>
  <c r="AC20" i="36"/>
  <c r="AA15" i="39"/>
  <c r="S15" i="39"/>
  <c r="AB19" i="34"/>
  <c r="U19" i="34"/>
  <c r="AB17" i="37"/>
  <c r="U17" i="37"/>
  <c r="S31" i="34"/>
  <c r="AA31" i="34"/>
  <c r="W44" i="33"/>
  <c r="AC44" i="33"/>
  <c r="U13" i="36"/>
  <c r="AB13" i="36"/>
  <c r="AC14" i="36"/>
  <c r="W14" i="36"/>
  <c r="AB30" i="21"/>
  <c r="U30" i="21"/>
  <c r="AC19" i="33"/>
  <c r="W19" i="33"/>
  <c r="AA44" i="34"/>
  <c r="S44" i="34"/>
  <c r="U30" i="40"/>
  <c r="AB28" i="33"/>
  <c r="H50" i="43"/>
  <c r="AB17" i="33"/>
  <c r="S19" i="37"/>
  <c r="AC39" i="34"/>
  <c r="W39" i="34"/>
  <c r="AZ306" i="3"/>
  <c r="AB28" i="34"/>
  <c r="U28" i="34"/>
  <c r="AA39" i="33"/>
  <c r="S39" i="33"/>
  <c r="AA14" i="34"/>
  <c r="W14" i="37"/>
  <c r="AC14" i="37"/>
  <c r="W45" i="34"/>
  <c r="AC45" i="34"/>
  <c r="AA13" i="33"/>
  <c r="S13" i="33"/>
  <c r="W46" i="21"/>
  <c r="AC46" i="21"/>
  <c r="AB25" i="34"/>
  <c r="U25" i="34"/>
  <c r="U40" i="34"/>
  <c r="AB40" i="34"/>
  <c r="W20" i="35"/>
  <c r="AC20" i="35"/>
  <c r="W28" i="33"/>
  <c r="AC28" i="33"/>
  <c r="AB23" i="33"/>
  <c r="AC40" i="21"/>
  <c r="U14" i="35"/>
  <c r="BP5" i="3"/>
  <c r="G29" i="6" s="1"/>
  <c r="AZ377" i="3"/>
  <c r="AZ305" i="3"/>
  <c r="U26" i="21"/>
  <c r="BL497" i="3"/>
  <c r="BL505" i="3"/>
  <c r="BL517" i="3"/>
  <c r="AZ517" i="3" s="1"/>
  <c r="BL541" i="3"/>
  <c r="J28" i="37"/>
  <c r="J25" i="36"/>
  <c r="F28" i="33"/>
  <c r="AA41" i="33"/>
  <c r="S41" i="33"/>
  <c r="AA37" i="39"/>
  <c r="AA35" i="40"/>
  <c r="BA587" i="3"/>
  <c r="F43" i="21"/>
  <c r="H43" i="21"/>
  <c r="AB43" i="21" s="1"/>
  <c r="B72" i="43"/>
  <c r="C15" i="39"/>
  <c r="AB35" i="33"/>
  <c r="U35" i="33"/>
  <c r="AC28" i="35"/>
  <c r="W28" i="35"/>
  <c r="J9" i="35"/>
  <c r="H9" i="36"/>
  <c r="F9" i="36"/>
  <c r="H34" i="36"/>
  <c r="J34" i="36"/>
  <c r="W34" i="36" s="1"/>
  <c r="F34" i="36"/>
  <c r="AB14" i="37"/>
  <c r="U14" i="37"/>
  <c r="BA580" i="3"/>
  <c r="AZ580" i="3" s="1"/>
  <c r="BA577" i="3"/>
  <c r="AZ577" i="3" s="1"/>
  <c r="BA576" i="3"/>
  <c r="AZ576" i="3" s="1"/>
  <c r="BA572" i="3"/>
  <c r="AZ572" i="3" s="1"/>
  <c r="BL570" i="3"/>
  <c r="AZ570" i="3" s="1"/>
  <c r="BA549" i="3"/>
  <c r="AZ549" i="3" s="1"/>
  <c r="BA548" i="3"/>
  <c r="BL546" i="3"/>
  <c r="AZ546" i="3" s="1"/>
  <c r="BL543" i="3"/>
  <c r="AZ543" i="3" s="1"/>
  <c r="BA541" i="3"/>
  <c r="BA540" i="3"/>
  <c r="AZ540" i="3" s="1"/>
  <c r="BA533" i="3"/>
  <c r="BA532" i="3"/>
  <c r="AZ532" i="3" s="1"/>
  <c r="BL530" i="3"/>
  <c r="AZ530" i="3" s="1"/>
  <c r="BL527" i="3"/>
  <c r="AZ527" i="3" s="1"/>
  <c r="BA526" i="3"/>
  <c r="AZ526" i="3" s="1"/>
  <c r="BA525" i="3"/>
  <c r="BA522" i="3"/>
  <c r="AZ522" i="3" s="1"/>
  <c r="BA521" i="3"/>
  <c r="BA516" i="3"/>
  <c r="AZ516" i="3" s="1"/>
  <c r="BA515" i="3"/>
  <c r="AZ515" i="3" s="1"/>
  <c r="BL512" i="3"/>
  <c r="AZ512" i="3" s="1"/>
  <c r="BL510" i="3"/>
  <c r="AZ510" i="3" s="1"/>
  <c r="BL508" i="3"/>
  <c r="BA508" i="3"/>
  <c r="AZ508" i="3" s="1"/>
  <c r="BA505" i="3"/>
  <c r="BL503" i="3"/>
  <c r="AZ503" i="3" s="1"/>
  <c r="BA500" i="3"/>
  <c r="AZ500" i="3" s="1"/>
  <c r="BA497" i="3"/>
  <c r="AZ497" i="3" s="1"/>
  <c r="BL494" i="3"/>
  <c r="AZ494" i="3" s="1"/>
  <c r="U44" i="34"/>
  <c r="H9" i="35"/>
  <c r="U9" i="35" s="1"/>
  <c r="S24" i="36"/>
  <c r="W12" i="39"/>
  <c r="U29" i="36"/>
  <c r="BE5" i="3"/>
  <c r="AZ387" i="3"/>
  <c r="AZ369" i="3"/>
  <c r="AZ390" i="3"/>
  <c r="AZ309" i="3"/>
  <c r="S21" i="40"/>
  <c r="BL501" i="3"/>
  <c r="AZ501" i="3" s="1"/>
  <c r="G521" i="3"/>
  <c r="BL533" i="3"/>
  <c r="BL545" i="3"/>
  <c r="AZ545" i="3" s="1"/>
  <c r="AZ556" i="3"/>
  <c r="F14" i="37"/>
  <c r="F38" i="37"/>
  <c r="S25" i="36"/>
  <c r="W28" i="21"/>
  <c r="AC28" i="21"/>
  <c r="S12" i="36"/>
  <c r="AA12" i="36"/>
  <c r="AB34" i="34"/>
  <c r="U34" i="34"/>
  <c r="H13" i="34"/>
  <c r="F13" i="34"/>
  <c r="AB34" i="35"/>
  <c r="U34" i="35"/>
  <c r="U12" i="36"/>
  <c r="AB12" i="36"/>
  <c r="F32" i="36"/>
  <c r="H32" i="36"/>
  <c r="AC31" i="40"/>
  <c r="W31" i="40"/>
  <c r="W38" i="34"/>
  <c r="AC38" i="34"/>
  <c r="BL584" i="3"/>
  <c r="AZ584" i="3" s="1"/>
  <c r="AC34" i="33"/>
  <c r="S35" i="33"/>
  <c r="BL493" i="3"/>
  <c r="AZ493" i="3" s="1"/>
  <c r="AZ391" i="3"/>
  <c r="AZ321" i="3"/>
  <c r="AZ362" i="3"/>
  <c r="AZ341" i="3"/>
  <c r="W26" i="37"/>
  <c r="U43" i="33"/>
  <c r="BL529" i="3"/>
  <c r="AZ529" i="3" s="1"/>
  <c r="AZ553" i="3"/>
  <c r="BL571" i="3"/>
  <c r="AZ571" i="3" s="1"/>
  <c r="AZ565" i="3"/>
  <c r="AZ583" i="3"/>
  <c r="AZ564" i="3"/>
  <c r="W44" i="39"/>
  <c r="U23" i="34"/>
  <c r="AB32" i="33"/>
  <c r="AA26" i="33"/>
  <c r="S26" i="33"/>
  <c r="BL587" i="3"/>
  <c r="BL585" i="3"/>
  <c r="AZ585" i="3" s="1"/>
  <c r="J45" i="21"/>
  <c r="F45" i="21"/>
  <c r="G123" i="21"/>
  <c r="H123" i="21" s="1"/>
  <c r="I123" i="21" s="1"/>
  <c r="J123" i="21" s="1"/>
  <c r="K123" i="21" s="1"/>
  <c r="L123" i="21" s="1"/>
  <c r="M123" i="21" s="1"/>
  <c r="F42" i="21"/>
  <c r="AA42" i="21" s="1"/>
  <c r="J26" i="33"/>
  <c r="H26" i="33"/>
  <c r="J29" i="33"/>
  <c r="F29" i="33"/>
  <c r="J14" i="34"/>
  <c r="H14" i="34"/>
  <c r="J35" i="35"/>
  <c r="H35" i="35"/>
  <c r="W9" i="40"/>
  <c r="AC9" i="40"/>
  <c r="H38" i="40"/>
  <c r="F38" i="40"/>
  <c r="J38" i="40"/>
  <c r="G80" i="39"/>
  <c r="H11" i="39"/>
  <c r="H25" i="37"/>
  <c r="F25" i="37"/>
  <c r="BL495" i="3"/>
  <c r="AZ495" i="3" s="1"/>
  <c r="BL537" i="3"/>
  <c r="AZ537" i="3" s="1"/>
  <c r="BL575" i="3"/>
  <c r="AZ575" i="3" s="1"/>
  <c r="BL581" i="3"/>
  <c r="AZ581" i="3" s="1"/>
  <c r="AZ569" i="3"/>
  <c r="AZ558" i="3"/>
  <c r="F14" i="40"/>
  <c r="F33" i="40"/>
  <c r="S28" i="34"/>
  <c r="U9" i="40"/>
  <c r="W31" i="37"/>
  <c r="J35" i="39"/>
  <c r="BL586" i="3"/>
  <c r="AZ586" i="3" s="1"/>
  <c r="H24" i="36"/>
  <c r="J25" i="37"/>
  <c r="J40" i="40"/>
  <c r="BL548" i="3"/>
  <c r="AB8" i="39"/>
  <c r="S40" i="40"/>
  <c r="G556" i="3"/>
  <c r="BL550" i="3"/>
  <c r="BA550" i="3"/>
  <c r="AZ550" i="3" s="1"/>
  <c r="G398" i="3"/>
  <c r="BA400" i="3"/>
  <c r="AZ400" i="3" s="1"/>
  <c r="BA402" i="3"/>
  <c r="BA403" i="3"/>
  <c r="G408" i="3"/>
  <c r="BL408" i="3"/>
  <c r="AZ408" i="3" s="1"/>
  <c r="BL409" i="3"/>
  <c r="G410" i="3"/>
  <c r="BA411" i="3"/>
  <c r="AZ411" i="3" s="1"/>
  <c r="BA412" i="3"/>
  <c r="BL418" i="3"/>
  <c r="BL419" i="3"/>
  <c r="G420" i="3"/>
  <c r="BA421" i="3"/>
  <c r="AZ421" i="3" s="1"/>
  <c r="BA422" i="3"/>
  <c r="BA423" i="3"/>
  <c r="G436" i="3"/>
  <c r="BL437" i="3"/>
  <c r="BL439" i="3"/>
  <c r="BL440" i="3"/>
  <c r="BA444" i="3"/>
  <c r="AZ444" i="3" s="1"/>
  <c r="BA445" i="3"/>
  <c r="AZ445" i="3" s="1"/>
  <c r="BA452" i="3"/>
  <c r="AZ452" i="3" s="1"/>
  <c r="BA453" i="3"/>
  <c r="AZ453" i="3" s="1"/>
  <c r="BL457" i="3"/>
  <c r="AZ457" i="3" s="1"/>
  <c r="BL458" i="3"/>
  <c r="BL459" i="3"/>
  <c r="BA470" i="3"/>
  <c r="AZ470" i="3" s="1"/>
  <c r="AZ477" i="3"/>
  <c r="BL480" i="3"/>
  <c r="BA303" i="3"/>
  <c r="AZ303" i="3" s="1"/>
  <c r="BA399" i="3"/>
  <c r="AZ399" i="3" s="1"/>
  <c r="BL405" i="3"/>
  <c r="BL406" i="3"/>
  <c r="BL407" i="3"/>
  <c r="BA410" i="3"/>
  <c r="AZ410" i="3" s="1"/>
  <c r="BL413" i="3"/>
  <c r="BL415" i="3"/>
  <c r="BL416" i="3"/>
  <c r="BA420" i="3"/>
  <c r="AZ420" i="3" s="1"/>
  <c r="BL424" i="3"/>
  <c r="BL426" i="3"/>
  <c r="BL427" i="3"/>
  <c r="BL429" i="3"/>
  <c r="BL430" i="3"/>
  <c r="BL431" i="3"/>
  <c r="G433" i="3"/>
  <c r="BA433" i="3"/>
  <c r="AZ433" i="3" s="1"/>
  <c r="BA434" i="3"/>
  <c r="AZ434" i="3" s="1"/>
  <c r="BA437" i="3"/>
  <c r="AZ437" i="3" s="1"/>
  <c r="BA442" i="3"/>
  <c r="AZ442" i="3" s="1"/>
  <c r="BA443" i="3"/>
  <c r="AZ443" i="3" s="1"/>
  <c r="BL446" i="3"/>
  <c r="BL447" i="3"/>
  <c r="BL448" i="3"/>
  <c r="BA450" i="3"/>
  <c r="AZ450" i="3" s="1"/>
  <c r="BA451" i="3"/>
  <c r="AZ451" i="3" s="1"/>
  <c r="BL454" i="3"/>
  <c r="BL455" i="3"/>
  <c r="BL456" i="3"/>
  <c r="BA460" i="3"/>
  <c r="BL462" i="3"/>
  <c r="AZ462" i="3" s="1"/>
  <c r="BL463" i="3"/>
  <c r="AZ463" i="3" s="1"/>
  <c r="BL465" i="3"/>
  <c r="AZ465" i="3" s="1"/>
  <c r="BA469" i="3"/>
  <c r="BL473" i="3"/>
  <c r="AZ473" i="3" s="1"/>
  <c r="BA476" i="3"/>
  <c r="BL484" i="3"/>
  <c r="BL485" i="3"/>
  <c r="AZ485" i="3" s="1"/>
  <c r="BJ5" i="3"/>
  <c r="BA13" i="3"/>
  <c r="AZ13" i="3" s="1"/>
  <c r="BS5" i="3"/>
  <c r="F28" i="6" s="1"/>
  <c r="G401" i="3"/>
  <c r="BL401" i="3"/>
  <c r="AZ401" i="3" s="1"/>
  <c r="BL402" i="3"/>
  <c r="G403" i="3"/>
  <c r="BL403" i="3"/>
  <c r="G405" i="3"/>
  <c r="BA407" i="3"/>
  <c r="BA409" i="3"/>
  <c r="BL412" i="3"/>
  <c r="G413" i="3"/>
  <c r="BA414" i="3"/>
  <c r="AZ414" i="3" s="1"/>
  <c r="BA417" i="3"/>
  <c r="AZ417" i="3" s="1"/>
  <c r="BA418" i="3"/>
  <c r="BA419" i="3"/>
  <c r="BL422" i="3"/>
  <c r="BL423" i="3"/>
  <c r="G424" i="3"/>
  <c r="BA425" i="3"/>
  <c r="AZ425" i="3" s="1"/>
  <c r="BA428" i="3"/>
  <c r="AZ428" i="3" s="1"/>
  <c r="BA431" i="3"/>
  <c r="BA432" i="3"/>
  <c r="AZ432" i="3" s="1"/>
  <c r="G435" i="3"/>
  <c r="BA440" i="3"/>
  <c r="BA441" i="3"/>
  <c r="AZ441" i="3" s="1"/>
  <c r="G445" i="3"/>
  <c r="BA448" i="3"/>
  <c r="BA449" i="3"/>
  <c r="AZ449" i="3" s="1"/>
  <c r="G453" i="3"/>
  <c r="BL460" i="3"/>
  <c r="BL461" i="3"/>
  <c r="AZ461" i="3" s="1"/>
  <c r="BL466" i="3"/>
  <c r="BA474" i="3"/>
  <c r="BA481" i="3"/>
  <c r="G489" i="3"/>
  <c r="BA489" i="3"/>
  <c r="AZ489" i="3" s="1"/>
  <c r="BL16" i="3"/>
  <c r="AZ16" i="3" s="1"/>
  <c r="AZ404" i="3"/>
  <c r="AZ435" i="3"/>
  <c r="BA456" i="3"/>
  <c r="BA458" i="3"/>
  <c r="BA459" i="3"/>
  <c r="BL469" i="3"/>
  <c r="G471" i="3"/>
  <c r="G472" i="3"/>
  <c r="G478" i="3"/>
  <c r="BA482" i="3"/>
  <c r="BA488" i="3"/>
  <c r="AZ488" i="3" s="1"/>
  <c r="BA317" i="3"/>
  <c r="AZ317" i="3" s="1"/>
  <c r="G327" i="3"/>
  <c r="G331" i="3"/>
  <c r="BA335" i="3"/>
  <c r="AZ335" i="3" s="1"/>
  <c r="G362" i="3"/>
  <c r="BA386" i="3"/>
  <c r="BL386" i="3"/>
  <c r="BA392" i="3"/>
  <c r="AZ392" i="3" s="1"/>
  <c r="G209" i="3"/>
  <c r="BL209" i="3"/>
  <c r="AZ209" i="3" s="1"/>
  <c r="BL210" i="3"/>
  <c r="G211" i="3"/>
  <c r="BL213" i="3"/>
  <c r="AZ213" i="3" s="1"/>
  <c r="G214" i="3"/>
  <c r="G216" i="3"/>
  <c r="G219" i="3"/>
  <c r="G230" i="3"/>
  <c r="G233" i="3"/>
  <c r="G235" i="3"/>
  <c r="BA237" i="3"/>
  <c r="BA240" i="3"/>
  <c r="AZ240" i="3" s="1"/>
  <c r="BL243" i="3"/>
  <c r="AZ243" i="3" s="1"/>
  <c r="G245" i="3"/>
  <c r="BA248" i="3"/>
  <c r="AZ248" i="3" s="1"/>
  <c r="BA250" i="3"/>
  <c r="AZ250" i="3" s="1"/>
  <c r="BL253" i="3"/>
  <c r="AZ253" i="3" s="1"/>
  <c r="BA255" i="3"/>
  <c r="AZ255" i="3" s="1"/>
  <c r="BA257" i="3"/>
  <c r="AZ257" i="3" s="1"/>
  <c r="BL259" i="3"/>
  <c r="BA261" i="3"/>
  <c r="BA262" i="3"/>
  <c r="BA265" i="3"/>
  <c r="AZ265" i="3" s="1"/>
  <c r="BL268" i="3"/>
  <c r="AZ268" i="3" s="1"/>
  <c r="BA270" i="3"/>
  <c r="AZ270" i="3" s="1"/>
  <c r="BL273" i="3"/>
  <c r="AZ273" i="3" s="1"/>
  <c r="G275" i="3"/>
  <c r="BL279" i="3"/>
  <c r="AZ279" i="3" s="1"/>
  <c r="BL281" i="3"/>
  <c r="AZ281" i="3" s="1"/>
  <c r="G283" i="3"/>
  <c r="BA286" i="3"/>
  <c r="AZ286" i="3" s="1"/>
  <c r="BA289" i="3"/>
  <c r="BA292" i="3"/>
  <c r="BA294" i="3"/>
  <c r="AZ294" i="3" s="1"/>
  <c r="BL296" i="3"/>
  <c r="AZ296" i="3" s="1"/>
  <c r="BL297" i="3"/>
  <c r="BL117" i="3"/>
  <c r="BL118" i="3"/>
  <c r="G311" i="3"/>
  <c r="G315" i="3"/>
  <c r="BA319" i="3"/>
  <c r="AZ319" i="3" s="1"/>
  <c r="BL333" i="3"/>
  <c r="BL354" i="3"/>
  <c r="G366" i="3"/>
  <c r="BA368" i="3"/>
  <c r="G378" i="3"/>
  <c r="BL383" i="3"/>
  <c r="AZ383" i="3" s="1"/>
  <c r="G392" i="3"/>
  <c r="BL396" i="3"/>
  <c r="AZ396" i="3" s="1"/>
  <c r="G208" i="3"/>
  <c r="BL211" i="3"/>
  <c r="BL216" i="3"/>
  <c r="BL219" i="3"/>
  <c r="BL221" i="3"/>
  <c r="BL223" i="3"/>
  <c r="AZ223" i="3" s="1"/>
  <c r="BA225" i="3"/>
  <c r="AZ225" i="3" s="1"/>
  <c r="BL227" i="3"/>
  <c r="BL230" i="3"/>
  <c r="BL232" i="3"/>
  <c r="AZ232" i="3" s="1"/>
  <c r="BL234" i="3"/>
  <c r="AZ234" i="3" s="1"/>
  <c r="BL236" i="3"/>
  <c r="BL238" i="3"/>
  <c r="AZ238" i="3" s="1"/>
  <c r="G240" i="3"/>
  <c r="G242" i="3"/>
  <c r="BL244" i="3"/>
  <c r="AZ244" i="3" s="1"/>
  <c r="BL246" i="3"/>
  <c r="G248" i="3"/>
  <c r="G250" i="3"/>
  <c r="G252" i="3"/>
  <c r="G257" i="3"/>
  <c r="BA259" i="3"/>
  <c r="AZ259" i="3" s="1"/>
  <c r="BA260" i="3"/>
  <c r="AZ260" i="3" s="1"/>
  <c r="BL263" i="3"/>
  <c r="AZ263" i="3" s="1"/>
  <c r="G265" i="3"/>
  <c r="G267" i="3"/>
  <c r="G272" i="3"/>
  <c r="BL274" i="3"/>
  <c r="BL276" i="3"/>
  <c r="G278" i="3"/>
  <c r="BL282" i="3"/>
  <c r="BL284" i="3"/>
  <c r="G286" i="3"/>
  <c r="BL288" i="3"/>
  <c r="AZ288" i="3" s="1"/>
  <c r="BL289" i="3"/>
  <c r="BL291" i="3"/>
  <c r="AZ291" i="3" s="1"/>
  <c r="BL292" i="3"/>
  <c r="BA302" i="3"/>
  <c r="BL122" i="3"/>
  <c r="BA124" i="3"/>
  <c r="AZ124" i="3" s="1"/>
  <c r="G127" i="3"/>
  <c r="AZ210" i="3"/>
  <c r="AZ221" i="3"/>
  <c r="AZ236" i="3"/>
  <c r="AZ246" i="3"/>
  <c r="BA300" i="3"/>
  <c r="BL113" i="3"/>
  <c r="BA118" i="3"/>
  <c r="BA122" i="3"/>
  <c r="G481" i="3"/>
  <c r="BA483" i="3"/>
  <c r="BA484" i="3"/>
  <c r="BA486" i="3"/>
  <c r="BL491" i="3"/>
  <c r="AZ491" i="3" s="1"/>
  <c r="BL492" i="3"/>
  <c r="AZ492" i="3" s="1"/>
  <c r="BA315" i="3"/>
  <c r="AZ315" i="3" s="1"/>
  <c r="BA333" i="3"/>
  <c r="AZ333" i="3" s="1"/>
  <c r="BA354" i="3"/>
  <c r="BL368" i="3"/>
  <c r="BL381" i="3"/>
  <c r="AZ381" i="3" s="1"/>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AZ241" i="3" s="1"/>
  <c r="BA242" i="3"/>
  <c r="BA245" i="3"/>
  <c r="AZ245" i="3" s="1"/>
  <c r="BA247" i="3"/>
  <c r="BA249" i="3"/>
  <c r="BA251" i="3"/>
  <c r="AZ251" i="3" s="1"/>
  <c r="BA252" i="3"/>
  <c r="BA254" i="3"/>
  <c r="AZ254" i="3" s="1"/>
  <c r="BA256" i="3"/>
  <c r="AZ256" i="3" s="1"/>
  <c r="G260" i="3"/>
  <c r="BL261" i="3"/>
  <c r="BL262" i="3"/>
  <c r="BA264" i="3"/>
  <c r="AZ264" i="3" s="1"/>
  <c r="BA266" i="3"/>
  <c r="AZ266" i="3" s="1"/>
  <c r="BA267" i="3"/>
  <c r="AZ267" i="3" s="1"/>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7" i="3"/>
  <c r="BL299" i="3"/>
  <c r="AZ299" i="3" s="1"/>
  <c r="BL300" i="3"/>
  <c r="BL115" i="3"/>
  <c r="AZ115" i="3" s="1"/>
  <c r="G124" i="3"/>
  <c r="BL298" i="3"/>
  <c r="BL301" i="3"/>
  <c r="BL302" i="3"/>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G155" i="3"/>
  <c r="BL157" i="3"/>
  <c r="G163" i="3"/>
  <c r="BA165" i="3"/>
  <c r="AZ165" i="3" s="1"/>
  <c r="BL167" i="3"/>
  <c r="AZ167" i="3" s="1"/>
  <c r="BL169" i="3"/>
  <c r="G172" i="3"/>
  <c r="G175" i="3"/>
  <c r="BL178" i="3"/>
  <c r="AZ178" i="3" s="1"/>
  <c r="G182" i="3"/>
  <c r="BL186" i="3"/>
  <c r="BA188" i="3"/>
  <c r="AZ188" i="3" s="1"/>
  <c r="BL190" i="3"/>
  <c r="G191" i="3"/>
  <c r="BA193" i="3"/>
  <c r="BA194" i="3"/>
  <c r="AZ194" i="3" s="1"/>
  <c r="BL199" i="3"/>
  <c r="AZ199" i="3" s="1"/>
  <c r="G200" i="3"/>
  <c r="BA201" i="3"/>
  <c r="BA21" i="3"/>
  <c r="AZ21" i="3" s="1"/>
  <c r="BA30" i="3"/>
  <c r="AZ30" i="3" s="1"/>
  <c r="BA31" i="3"/>
  <c r="BL37" i="3"/>
  <c r="G39" i="3"/>
  <c r="BA39" i="3"/>
  <c r="BL40" i="3"/>
  <c r="G44" i="3"/>
  <c r="G45" i="3"/>
  <c r="G47" i="3"/>
  <c r="BA49" i="3"/>
  <c r="BL52" i="3"/>
  <c r="BL54" i="3"/>
  <c r="BL55" i="3"/>
  <c r="BA69" i="3"/>
  <c r="BA70" i="3"/>
  <c r="BL74" i="3"/>
  <c r="AZ74" i="3" s="1"/>
  <c r="G76" i="3"/>
  <c r="BL76" i="3"/>
  <c r="AZ76" i="3" s="1"/>
  <c r="D28" i="71"/>
  <c r="U28" i="71" s="1"/>
  <c r="T28" i="71"/>
  <c r="C27" i="71"/>
  <c r="C47" i="71"/>
  <c r="D47" i="71" s="1"/>
  <c r="D46" i="71"/>
  <c r="BA126" i="3"/>
  <c r="G128" i="3"/>
  <c r="BL129" i="3"/>
  <c r="BA132" i="3"/>
  <c r="AZ132" i="3" s="1"/>
  <c r="BA137" i="3"/>
  <c r="BL139" i="3"/>
  <c r="AZ139" i="3" s="1"/>
  <c r="BL141" i="3"/>
  <c r="G144" i="3"/>
  <c r="BL149" i="3"/>
  <c r="BL154" i="3"/>
  <c r="BA157" i="3"/>
  <c r="AZ157" i="3" s="1"/>
  <c r="BL162" i="3"/>
  <c r="AZ162" i="3" s="1"/>
  <c r="BA164" i="3"/>
  <c r="AZ164" i="3" s="1"/>
  <c r="G167" i="3"/>
  <c r="BA169" i="3"/>
  <c r="BL171" i="3"/>
  <c r="AZ171" i="3" s="1"/>
  <c r="BL174" i="3"/>
  <c r="AZ174" i="3" s="1"/>
  <c r="BA176" i="3"/>
  <c r="AZ176" i="3" s="1"/>
  <c r="BL181" i="3"/>
  <c r="AZ181" i="3" s="1"/>
  <c r="BA184" i="3"/>
  <c r="AZ184" i="3" s="1"/>
  <c r="BA186" i="3"/>
  <c r="BA192" i="3"/>
  <c r="AZ192" i="3" s="1"/>
  <c r="G196" i="3"/>
  <c r="BL197" i="3"/>
  <c r="AZ197" i="3" s="1"/>
  <c r="G199" i="3"/>
  <c r="BL203" i="3"/>
  <c r="AZ203" i="3" s="1"/>
  <c r="BL205" i="3"/>
  <c r="AZ205" i="3" s="1"/>
  <c r="G206" i="3"/>
  <c r="G207" i="3"/>
  <c r="BL19" i="3"/>
  <c r="BA20" i="3"/>
  <c r="AZ20" i="3" s="1"/>
  <c r="BA25" i="3"/>
  <c r="BL30" i="3"/>
  <c r="BL33" i="3"/>
  <c r="AZ33" i="3" s="1"/>
  <c r="BA37" i="3"/>
  <c r="AZ48" i="3"/>
  <c r="BA78" i="3"/>
  <c r="BA79" i="3"/>
  <c r="AZ79" i="3" s="1"/>
  <c r="BL81" i="3"/>
  <c r="BA82" i="3"/>
  <c r="BL86" i="3"/>
  <c r="BA87" i="3"/>
  <c r="AZ87" i="3" s="1"/>
  <c r="BA97" i="3"/>
  <c r="AZ97" i="3" s="1"/>
  <c r="C66" i="71"/>
  <c r="O67" i="71"/>
  <c r="D67" i="71"/>
  <c r="BL151" i="3"/>
  <c r="AZ151" i="3" s="1"/>
  <c r="BL158" i="3"/>
  <c r="AZ158" i="3" s="1"/>
  <c r="BL183" i="3"/>
  <c r="AZ183" i="3" s="1"/>
  <c r="BA190" i="3"/>
  <c r="BL193" i="3"/>
  <c r="G194" i="3"/>
  <c r="BL195" i="3"/>
  <c r="AZ195" i="3" s="1"/>
  <c r="BL198" i="3"/>
  <c r="AZ198" i="3" s="1"/>
  <c r="BA200" i="3"/>
  <c r="AZ200" i="3" s="1"/>
  <c r="G202" i="3"/>
  <c r="G203" i="3"/>
  <c r="BL207" i="3"/>
  <c r="AZ207" i="3" s="1"/>
  <c r="G22" i="3"/>
  <c r="BL22" i="3"/>
  <c r="G28" i="3"/>
  <c r="G29" i="3"/>
  <c r="G30" i="3"/>
  <c r="G32" i="3"/>
  <c r="G33" i="3"/>
  <c r="G35" i="3"/>
  <c r="BL39" i="3"/>
  <c r="G41" i="3"/>
  <c r="G42" i="3"/>
  <c r="BL42" i="3"/>
  <c r="BA43" i="3"/>
  <c r="AZ43" i="3" s="1"/>
  <c r="BL48" i="3"/>
  <c r="BA52" i="3"/>
  <c r="G56" i="3"/>
  <c r="BL60" i="3"/>
  <c r="BL61" i="3"/>
  <c r="AZ61" i="3" s="1"/>
  <c r="BL63" i="3"/>
  <c r="BL65" i="3"/>
  <c r="BL66" i="3"/>
  <c r="BL69" i="3"/>
  <c r="BA72" i="3"/>
  <c r="AZ72" i="3" s="1"/>
  <c r="BA73" i="3"/>
  <c r="G80" i="3"/>
  <c r="G84" i="3"/>
  <c r="G85" i="3"/>
  <c r="BL85" i="3"/>
  <c r="BL134" i="3"/>
  <c r="BA136" i="3"/>
  <c r="AZ136" i="3" s="1"/>
  <c r="G138" i="3"/>
  <c r="BA140" i="3"/>
  <c r="AZ140" i="3" s="1"/>
  <c r="G143" i="3"/>
  <c r="BA148" i="3"/>
  <c r="AZ148" i="3" s="1"/>
  <c r="BA150" i="3"/>
  <c r="AZ150" i="3" s="1"/>
  <c r="BL161" i="3"/>
  <c r="BL163" i="3"/>
  <c r="AZ163" i="3" s="1"/>
  <c r="BA166" i="3"/>
  <c r="BL173" i="3"/>
  <c r="AZ173" i="3" s="1"/>
  <c r="BL175" i="3"/>
  <c r="AZ175" i="3" s="1"/>
  <c r="BA177" i="3"/>
  <c r="AZ177" i="3" s="1"/>
  <c r="BA180" i="3"/>
  <c r="AZ180" i="3" s="1"/>
  <c r="BA182" i="3"/>
  <c r="AZ182" i="3" s="1"/>
  <c r="BL185" i="3"/>
  <c r="BA189" i="3"/>
  <c r="AZ189" i="3" s="1"/>
  <c r="AZ22" i="3"/>
  <c r="BL45" i="3"/>
  <c r="AZ45" i="3" s="1"/>
  <c r="BL49" i="3"/>
  <c r="BL50" i="3"/>
  <c r="AZ57" i="3"/>
  <c r="G62" i="3"/>
  <c r="BA62" i="3"/>
  <c r="AZ62" i="3" s="1"/>
  <c r="BA65" i="3"/>
  <c r="C55" i="71"/>
  <c r="D54" i="71"/>
  <c r="V24" i="71"/>
  <c r="E23" i="71"/>
  <c r="E22" i="71" s="1"/>
  <c r="E21" i="71" s="1"/>
  <c r="E20" i="71" s="1"/>
  <c r="AA28" i="71"/>
  <c r="AB28" i="71"/>
  <c r="AA26" i="71"/>
  <c r="B43" i="71"/>
  <c r="B44" i="71" s="1"/>
  <c r="S44" i="71" s="1"/>
  <c r="B47" i="71"/>
  <c r="B48" i="71" s="1"/>
  <c r="S48" i="71" s="1"/>
  <c r="BA54" i="3"/>
  <c r="G59" i="3"/>
  <c r="BL59" i="3"/>
  <c r="AZ59" i="3" s="1"/>
  <c r="BA60" i="3"/>
  <c r="G67" i="3"/>
  <c r="G68" i="3"/>
  <c r="G69" i="3"/>
  <c r="BL70" i="3"/>
  <c r="BL71" i="3"/>
  <c r="BA75" i="3"/>
  <c r="BL77" i="3"/>
  <c r="AZ77" i="3" s="1"/>
  <c r="G79" i="3"/>
  <c r="BL80" i="3"/>
  <c r="AZ80" i="3" s="1"/>
  <c r="G82" i="3"/>
  <c r="BL82" i="3"/>
  <c r="BL83" i="3"/>
  <c r="G87" i="3"/>
  <c r="G89" i="3"/>
  <c r="BL92" i="3"/>
  <c r="AZ92" i="3" s="1"/>
  <c r="BL94" i="3"/>
  <c r="AZ94" i="3" s="1"/>
  <c r="G96" i="3"/>
  <c r="BL96" i="3"/>
  <c r="BA99" i="3"/>
  <c r="BA100" i="3"/>
  <c r="AZ100" i="3" s="1"/>
  <c r="BL104" i="3"/>
  <c r="BL105" i="3"/>
  <c r="AZ105" i="3" s="1"/>
  <c r="G107" i="3"/>
  <c r="BL112" i="3"/>
  <c r="K13" i="1"/>
  <c r="M13" i="1" s="1"/>
  <c r="O13" i="1" s="1"/>
  <c r="P13" i="1" s="1"/>
  <c r="S21" i="37"/>
  <c r="U25" i="40"/>
  <c r="S21" i="34"/>
  <c r="B68" i="43"/>
  <c r="B88" i="43"/>
  <c r="AA18" i="35"/>
  <c r="C74" i="71"/>
  <c r="D74" i="71" s="1"/>
  <c r="AA25" i="71"/>
  <c r="D72" i="71"/>
  <c r="T68" i="71"/>
  <c r="D50" i="71"/>
  <c r="Y26" i="71"/>
  <c r="Z26" i="71" s="1"/>
  <c r="Y37" i="71"/>
  <c r="Z37" i="71" s="1"/>
  <c r="E40" i="71"/>
  <c r="U40" i="71" s="1"/>
  <c r="AB29" i="71"/>
  <c r="AB10" i="71"/>
  <c r="F55" i="71"/>
  <c r="F56" i="71" s="1"/>
  <c r="V56" i="71" s="1"/>
  <c r="B63" i="71"/>
  <c r="B64" i="71" s="1"/>
  <c r="S64" i="71" s="1"/>
  <c r="C63" i="71"/>
  <c r="B67" i="71"/>
  <c r="V68" i="71"/>
  <c r="BL93" i="3"/>
  <c r="BA96" i="3"/>
  <c r="BL102" i="3"/>
  <c r="AZ102" i="3" s="1"/>
  <c r="BL107" i="3"/>
  <c r="BA109" i="3"/>
  <c r="F3" i="35"/>
  <c r="W18" i="35"/>
  <c r="S18" i="36"/>
  <c r="B57" i="43"/>
  <c r="C78" i="71"/>
  <c r="D78" i="71" s="1"/>
  <c r="AA3" i="71"/>
  <c r="B32" i="71"/>
  <c r="S32" i="71" s="1"/>
  <c r="X28" i="71"/>
  <c r="X30" i="71"/>
  <c r="AB31" i="71"/>
  <c r="Y34" i="71"/>
  <c r="Z34" i="71" s="1"/>
  <c r="AA35" i="71"/>
  <c r="C43" i="71"/>
  <c r="B55" i="71"/>
  <c r="B56" i="71" s="1"/>
  <c r="S56" i="71" s="1"/>
  <c r="K56" i="9"/>
  <c r="BA86" i="3"/>
  <c r="BA88" i="3"/>
  <c r="AZ88" i="3" s="1"/>
  <c r="BA91" i="3"/>
  <c r="AZ91" i="3" s="1"/>
  <c r="BA93" i="3"/>
  <c r="BA98" i="3"/>
  <c r="BL103" i="3"/>
  <c r="BA104" i="3"/>
  <c r="AZ104" i="3" s="1"/>
  <c r="BA110" i="3"/>
  <c r="AZ110" i="3" s="1"/>
  <c r="C40" i="69"/>
  <c r="B77" i="43"/>
  <c r="S44" i="21"/>
  <c r="U42" i="39"/>
  <c r="AC41" i="39"/>
  <c r="AA41" i="39"/>
  <c r="U29" i="39"/>
  <c r="W29" i="39"/>
  <c r="S27" i="39"/>
  <c r="W27" i="39"/>
  <c r="J21" i="39"/>
  <c r="W21" i="39" s="1"/>
  <c r="F21" i="39"/>
  <c r="AA21" i="39" s="1"/>
  <c r="H21" i="39"/>
  <c r="AB21" i="39" s="1"/>
  <c r="W23" i="39"/>
  <c r="U19" i="39"/>
  <c r="W19" i="39"/>
  <c r="W17" i="39"/>
  <c r="S17" i="39"/>
  <c r="S42" i="39"/>
  <c r="W40" i="39"/>
  <c r="S40" i="39"/>
  <c r="U40" i="39"/>
  <c r="AB39" i="39"/>
  <c r="U41" i="39"/>
  <c r="U9" i="39"/>
  <c r="H35" i="21"/>
  <c r="AB35" i="21" s="1"/>
  <c r="F35" i="21"/>
  <c r="AA35" i="21" s="1"/>
  <c r="E125" i="21"/>
  <c r="F125" i="21" s="1"/>
  <c r="G125" i="21" s="1"/>
  <c r="AB45" i="21"/>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C15" i="21"/>
  <c r="AA39" i="21"/>
  <c r="W39" i="21"/>
  <c r="AB39" i="21"/>
  <c r="U40" i="21"/>
  <c r="AB42" i="21"/>
  <c r="AA36" i="21"/>
  <c r="W36" i="21"/>
  <c r="AB36" i="21"/>
  <c r="AC35" i="21"/>
  <c r="U34" i="21"/>
  <c r="S9" i="21"/>
  <c r="AB9" i="21"/>
  <c r="J9" i="21"/>
  <c r="F32" i="15"/>
  <c r="F60" i="15" s="1"/>
  <c r="F52" i="9"/>
  <c r="F54" i="9"/>
  <c r="F30" i="69"/>
  <c r="F48" i="69" s="1"/>
  <c r="D68" i="9"/>
  <c r="F28" i="15"/>
  <c r="F32" i="67"/>
  <c r="F60" i="67" s="1"/>
  <c r="F28" i="67"/>
  <c r="C28" i="67" s="1"/>
  <c r="F31" i="12"/>
  <c r="M18" i="15"/>
  <c r="M18" i="67"/>
  <c r="F30" i="11"/>
  <c r="C48" i="11" s="1"/>
  <c r="C40" i="68"/>
  <c r="C21" i="68"/>
  <c r="G22" i="68"/>
  <c r="G22" i="69"/>
  <c r="G1" i="67"/>
  <c r="K1" i="12"/>
  <c r="K6" i="1"/>
  <c r="AP6" i="1" s="1"/>
  <c r="C36" i="69" s="1"/>
  <c r="G1" i="69"/>
  <c r="G1" i="68"/>
  <c r="G1" i="15"/>
  <c r="B6" i="1"/>
  <c r="E6" i="1" s="1"/>
  <c r="BB5" i="3"/>
  <c r="E11" i="6" s="1"/>
  <c r="E60" i="39" s="1"/>
  <c r="C7" i="21"/>
  <c r="C7" i="37"/>
  <c r="C52" i="37" s="1"/>
  <c r="D52" i="37" s="1"/>
  <c r="E52" i="37" s="1"/>
  <c r="F52" i="37" s="1"/>
  <c r="G52" i="37" s="1"/>
  <c r="H52" i="37" s="1"/>
  <c r="I52" i="37" s="1"/>
  <c r="J52" i="37" s="1"/>
  <c r="K52" i="37" s="1"/>
  <c r="L52" i="37" s="1"/>
  <c r="M52" i="37" s="1"/>
  <c r="N52" i="37" s="1"/>
  <c r="O52" i="37" s="1"/>
  <c r="G23" i="43"/>
  <c r="O23" i="43" s="1"/>
  <c r="AC35" i="33"/>
  <c r="S23" i="39"/>
  <c r="AB19" i="40"/>
  <c r="AA19" i="40"/>
  <c r="G28" i="6"/>
  <c r="W12" i="37"/>
  <c r="AC12" i="37"/>
  <c r="AZ521" i="3"/>
  <c r="AZ525" i="3"/>
  <c r="AZ533" i="3"/>
  <c r="AZ541" i="3"/>
  <c r="U19" i="33"/>
  <c r="AC25" i="33"/>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AZ316" i="3" s="1"/>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13" i="3"/>
  <c r="AZ122" i="3"/>
  <c r="AZ141" i="3"/>
  <c r="AZ185" i="3"/>
  <c r="AZ201" i="3"/>
  <c r="AZ49" i="3"/>
  <c r="BL295" i="3"/>
  <c r="AZ295" i="3" s="1"/>
  <c r="AZ161" i="3"/>
  <c r="AZ169" i="3"/>
  <c r="AZ54" i="3"/>
  <c r="G288" i="3"/>
  <c r="G291" i="3"/>
  <c r="G294" i="3"/>
  <c r="G299" i="3"/>
  <c r="G302" i="3"/>
  <c r="BA114" i="3"/>
  <c r="AZ114" i="3" s="1"/>
  <c r="BL121" i="3"/>
  <c r="AZ121" i="3" s="1"/>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AZ44" i="3" s="1"/>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AZ47" i="3" s="1"/>
  <c r="BA58" i="3"/>
  <c r="BA63" i="3"/>
  <c r="AZ63" i="3" s="1"/>
  <c r="G77" i="3"/>
  <c r="BA81" i="3"/>
  <c r="AZ81" i="3" s="1"/>
  <c r="BA85" i="3"/>
  <c r="AZ85" i="3" s="1"/>
  <c r="BL89" i="3"/>
  <c r="AZ89" i="3" s="1"/>
  <c r="G94" i="3"/>
  <c r="G97" i="3"/>
  <c r="G100" i="3"/>
  <c r="BL106" i="3"/>
  <c r="AZ106" i="3" s="1"/>
  <c r="BL111" i="3"/>
  <c r="G112" i="3"/>
  <c r="P66" i="71"/>
  <c r="P65" i="71"/>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C30" i="69"/>
  <c r="F53" i="9"/>
  <c r="C5" i="11"/>
  <c r="C4" i="12"/>
  <c r="I4" i="6"/>
  <c r="G3" i="43" s="1"/>
  <c r="J26" i="43"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C23" i="43"/>
  <c r="I18" i="43"/>
  <c r="E17" i="43" s="1"/>
  <c r="C17" i="43" s="1"/>
  <c r="C24" i="43"/>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M22" i="67"/>
  <c r="F38" i="92"/>
  <c r="L47" i="15"/>
  <c r="F26" i="92"/>
  <c r="F37" i="15"/>
  <c r="F8" i="15"/>
  <c r="F7" i="15"/>
  <c r="M9" i="67"/>
  <c r="M24" i="92"/>
  <c r="M8" i="67"/>
  <c r="F7" i="92"/>
  <c r="F16" i="15"/>
  <c r="F26" i="67"/>
  <c r="M24" i="15"/>
  <c r="J15" i="15"/>
  <c r="J15" i="92"/>
  <c r="F16" i="67"/>
  <c r="M29" i="92"/>
  <c r="F13" i="92"/>
  <c r="F40" i="67"/>
  <c r="F37" i="92"/>
  <c r="L48" i="67"/>
  <c r="L47" i="92"/>
  <c r="F6" i="15"/>
  <c r="C36" i="91"/>
  <c r="M26" i="15"/>
  <c r="F7" i="67"/>
  <c r="M8" i="92"/>
  <c r="L47" i="67"/>
  <c r="F16" i="92"/>
  <c r="M26" i="67"/>
  <c r="M6" i="67"/>
  <c r="M6" i="92"/>
  <c r="J15" i="67"/>
  <c r="F37" i="67"/>
  <c r="C76" i="92"/>
  <c r="M27" i="92"/>
  <c r="L48" i="92"/>
  <c r="L48" i="15"/>
  <c r="F27" i="91"/>
  <c r="F9" i="92"/>
  <c r="G1" i="73"/>
  <c r="F38" i="67"/>
  <c r="F43" i="67"/>
  <c r="M28" i="15"/>
  <c r="C76" i="67"/>
  <c r="F43" i="15"/>
  <c r="F9" i="15"/>
  <c r="F42" i="92"/>
  <c r="M8" i="15"/>
  <c r="F13" i="67"/>
  <c r="F8" i="92"/>
  <c r="F6" i="67"/>
  <c r="M9" i="92"/>
  <c r="F36" i="92"/>
  <c r="C76" i="15"/>
  <c r="M29" i="15"/>
  <c r="M23" i="67"/>
  <c r="F9" i="67"/>
  <c r="F6" i="92"/>
  <c r="F36" i="67"/>
  <c r="F8" i="67"/>
  <c r="M9" i="15"/>
  <c r="M24" i="67"/>
  <c r="M29" i="67"/>
  <c r="F38" i="15"/>
  <c r="M22" i="92"/>
  <c r="F40" i="15"/>
  <c r="M26" i="92"/>
  <c r="F40" i="92"/>
  <c r="D7" i="73"/>
  <c r="M6" i="15"/>
  <c r="M23" i="92"/>
  <c r="M22" i="15"/>
  <c r="M28" i="92"/>
  <c r="F36" i="15"/>
  <c r="F26" i="15"/>
  <c r="F42" i="15"/>
  <c r="D9" i="91"/>
  <c r="M23" i="15"/>
  <c r="F42" i="67"/>
  <c r="F43" i="92"/>
  <c r="M28" i="67"/>
  <c r="F13" i="15"/>
  <c r="D6" i="73"/>
  <c r="W17" i="21" l="1"/>
  <c r="AC21" i="39"/>
  <c r="AB44" i="21"/>
  <c r="W44" i="21"/>
  <c r="AB38" i="21"/>
  <c r="AZ237" i="3"/>
  <c r="B19" i="71"/>
  <c r="B18" i="71" s="1"/>
  <c r="B17" i="71" s="1"/>
  <c r="B16" i="71" s="1"/>
  <c r="S20" i="71"/>
  <c r="AZ64" i="3"/>
  <c r="AB40" i="40"/>
  <c r="U40" i="40"/>
  <c r="S47" i="34"/>
  <c r="AA47" i="34"/>
  <c r="AA44" i="33"/>
  <c r="S44" i="33"/>
  <c r="AA32" i="34"/>
  <c r="S32" i="34"/>
  <c r="AZ531" i="3"/>
  <c r="AB25" i="36"/>
  <c r="U25" i="36"/>
  <c r="AC24" i="36"/>
  <c r="W24" i="36"/>
  <c r="AC24" i="35"/>
  <c r="W24" i="35"/>
  <c r="AB12" i="21"/>
  <c r="U12" i="21"/>
  <c r="AA31" i="40"/>
  <c r="S31" i="40"/>
  <c r="AB38" i="37"/>
  <c r="U38" i="37"/>
  <c r="AZ39" i="3"/>
  <c r="AZ297" i="3"/>
  <c r="AZ422" i="3"/>
  <c r="AZ402" i="3"/>
  <c r="AZ170" i="3"/>
  <c r="AZ208" i="3"/>
  <c r="AC9" i="34"/>
  <c r="W9" i="34"/>
  <c r="AC29" i="21"/>
  <c r="W29" i="21"/>
  <c r="AA28" i="37"/>
  <c r="S28" i="37"/>
  <c r="AZ523" i="3"/>
  <c r="S45" i="39"/>
  <c r="AA45" i="39"/>
  <c r="AC12" i="21"/>
  <c r="W12" i="21"/>
  <c r="C48" i="91"/>
  <c r="C30" i="91"/>
  <c r="F48" i="91"/>
  <c r="AC38" i="37"/>
  <c r="W38" i="37"/>
  <c r="AZ332" i="3"/>
  <c r="AZ93" i="3"/>
  <c r="AZ484" i="3"/>
  <c r="AZ118" i="3"/>
  <c r="AZ292" i="3"/>
  <c r="AZ386" i="3"/>
  <c r="C82" i="71"/>
  <c r="D82" i="71" s="1"/>
  <c r="D83" i="71"/>
  <c r="AZ398" i="3"/>
  <c r="U23" i="35"/>
  <c r="AB23" i="35"/>
  <c r="U31" i="34"/>
  <c r="AB31" i="34"/>
  <c r="U13" i="39"/>
  <c r="AB13" i="39"/>
  <c r="AZ511" i="3"/>
  <c r="AZ518" i="3"/>
  <c r="AZ535" i="3"/>
  <c r="W28" i="34"/>
  <c r="AC28" i="34"/>
  <c r="G100" i="39"/>
  <c r="H27" i="39"/>
  <c r="AA45" i="33"/>
  <c r="S45" i="33"/>
  <c r="AB45" i="39"/>
  <c r="U45" i="39"/>
  <c r="S13" i="36"/>
  <c r="AA13" i="36"/>
  <c r="AB32" i="34"/>
  <c r="U32" i="34"/>
  <c r="C22" i="71"/>
  <c r="D23" i="71"/>
  <c r="AC47" i="34"/>
  <c r="W47" i="34"/>
  <c r="AB26" i="37"/>
  <c r="U26" i="37"/>
  <c r="AB24" i="35"/>
  <c r="U24" i="35"/>
  <c r="H69" i="21"/>
  <c r="I69" i="21" s="1"/>
  <c r="J69" i="21" s="1"/>
  <c r="K69" i="21" s="1"/>
  <c r="L69" i="21" s="1"/>
  <c r="M69" i="21" s="1"/>
  <c r="H11" i="21"/>
  <c r="J11" i="21"/>
  <c r="F48" i="89"/>
  <c r="C48" i="89"/>
  <c r="C30" i="89"/>
  <c r="W32" i="34"/>
  <c r="AC32" i="34"/>
  <c r="C9" i="91"/>
  <c r="F45" i="91"/>
  <c r="C29" i="91"/>
  <c r="D27" i="91" s="1"/>
  <c r="C47" i="91"/>
  <c r="D45" i="91" s="1"/>
  <c r="Q71" i="92"/>
  <c r="C6" i="92"/>
  <c r="F68" i="92"/>
  <c r="F65" i="92"/>
  <c r="C27" i="92"/>
  <c r="L59" i="92"/>
  <c r="N59" i="92"/>
  <c r="L58" i="92"/>
  <c r="M59" i="92"/>
  <c r="F66" i="92"/>
  <c r="F51" i="92"/>
  <c r="F64" i="92"/>
  <c r="L56" i="92"/>
  <c r="J57" i="92"/>
  <c r="J55" i="92" s="1"/>
  <c r="J58" i="92" s="1"/>
  <c r="Q50" i="92" s="1"/>
  <c r="J53" i="92"/>
  <c r="L57" i="92"/>
  <c r="L60" i="92"/>
  <c r="I54" i="92"/>
  <c r="M7" i="92"/>
  <c r="J6" i="92" s="1"/>
  <c r="F50" i="92"/>
  <c r="H43" i="92"/>
  <c r="F71" i="92"/>
  <c r="S42" i="21"/>
  <c r="M11" i="92"/>
  <c r="J10" i="92" s="1"/>
  <c r="F11" i="92"/>
  <c r="O7" i="1"/>
  <c r="P7" i="1" s="1"/>
  <c r="M11" i="87"/>
  <c r="J10" i="87" s="1"/>
  <c r="F11" i="87"/>
  <c r="F30" i="6"/>
  <c r="E28" i="6"/>
  <c r="K14" i="1" s="1"/>
  <c r="M14" i="1" s="1"/>
  <c r="E29" i="6"/>
  <c r="G30" i="6"/>
  <c r="G31" i="6" s="1"/>
  <c r="J7" i="36"/>
  <c r="C44" i="71"/>
  <c r="D43" i="71"/>
  <c r="AZ96" i="3"/>
  <c r="AZ70" i="3"/>
  <c r="AZ193" i="3"/>
  <c r="AZ368" i="3"/>
  <c r="AZ261" i="3"/>
  <c r="W40" i="40"/>
  <c r="AC40" i="40"/>
  <c r="W35" i="39"/>
  <c r="AC35" i="39"/>
  <c r="AA33" i="40"/>
  <c r="S33" i="40"/>
  <c r="H80" i="39"/>
  <c r="I80" i="39" s="1"/>
  <c r="J80" i="39" s="1"/>
  <c r="K80" i="39" s="1"/>
  <c r="L80" i="39" s="1"/>
  <c r="M80" i="39" s="1"/>
  <c r="F11" i="39"/>
  <c r="J11" i="39"/>
  <c r="U14" i="34"/>
  <c r="AB14" i="34"/>
  <c r="U26" i="33"/>
  <c r="AB26" i="33"/>
  <c r="AA45" i="21"/>
  <c r="S45" i="21"/>
  <c r="U13" i="34"/>
  <c r="AB13" i="34"/>
  <c r="AA38" i="37"/>
  <c r="S38" i="37"/>
  <c r="AZ548" i="3"/>
  <c r="AA9" i="36"/>
  <c r="S9" i="36"/>
  <c r="AA28" i="33"/>
  <c r="S28" i="33"/>
  <c r="H7" i="36"/>
  <c r="C31" i="12"/>
  <c r="AZ86" i="3"/>
  <c r="E19" i="71"/>
  <c r="E18" i="71" s="1"/>
  <c r="E17" i="71" s="1"/>
  <c r="E16" i="71" s="1"/>
  <c r="V20" i="71"/>
  <c r="AZ190" i="3"/>
  <c r="AZ37" i="3"/>
  <c r="AZ69" i="3"/>
  <c r="AZ354" i="3"/>
  <c r="AZ300" i="3"/>
  <c r="AZ289" i="3"/>
  <c r="AZ423" i="3"/>
  <c r="AZ403" i="3"/>
  <c r="AC25" i="37"/>
  <c r="W25" i="37"/>
  <c r="S14" i="40"/>
  <c r="AA14" i="40"/>
  <c r="AA25" i="37"/>
  <c r="S25" i="37"/>
  <c r="AC38" i="40"/>
  <c r="W38" i="40"/>
  <c r="W14" i="34"/>
  <c r="AC14" i="34"/>
  <c r="AC26" i="33"/>
  <c r="W26" i="33"/>
  <c r="W45" i="21"/>
  <c r="AC45" i="21"/>
  <c r="AB32" i="36"/>
  <c r="U32" i="36"/>
  <c r="S14" i="37"/>
  <c r="AA14" i="37"/>
  <c r="AA34" i="36"/>
  <c r="S34" i="36"/>
  <c r="AB9" i="36"/>
  <c r="U9" i="36"/>
  <c r="W25" i="36"/>
  <c r="AC25" i="36"/>
  <c r="AZ505" i="3"/>
  <c r="D27" i="71"/>
  <c r="C26" i="71"/>
  <c r="D26" i="71" s="1"/>
  <c r="AB24" i="36"/>
  <c r="U24" i="36"/>
  <c r="U25" i="37"/>
  <c r="AB25" i="37"/>
  <c r="AA38" i="40"/>
  <c r="S38" i="40"/>
  <c r="U35" i="35"/>
  <c r="AB35" i="35"/>
  <c r="AA29" i="33"/>
  <c r="S29" i="33"/>
  <c r="S32" i="36"/>
  <c r="AA32" i="36"/>
  <c r="AC9" i="35"/>
  <c r="W9" i="35"/>
  <c r="AC28" i="37"/>
  <c r="W28" i="37"/>
  <c r="F7" i="36"/>
  <c r="G5" i="3"/>
  <c r="B3" i="3" s="1"/>
  <c r="E249" i="3" s="1"/>
  <c r="BL5" i="3"/>
  <c r="B66" i="71"/>
  <c r="N67" i="71"/>
  <c r="O66" i="71"/>
  <c r="D66" i="71"/>
  <c r="O65" i="71"/>
  <c r="AZ82" i="3"/>
  <c r="AZ186" i="3"/>
  <c r="AZ302" i="3"/>
  <c r="AZ262" i="3"/>
  <c r="AZ469" i="3"/>
  <c r="AZ460" i="3"/>
  <c r="AZ412" i="3"/>
  <c r="AB11" i="39"/>
  <c r="U11" i="39"/>
  <c r="AB38" i="40"/>
  <c r="U38" i="40"/>
  <c r="AC35" i="35"/>
  <c r="W35" i="35"/>
  <c r="AC29" i="33"/>
  <c r="W29" i="33"/>
  <c r="AA13" i="34"/>
  <c r="S13" i="34"/>
  <c r="AB34" i="36"/>
  <c r="U34" i="36"/>
  <c r="AZ587" i="3"/>
  <c r="U21" i="39"/>
  <c r="S21" i="39"/>
  <c r="U35" i="21"/>
  <c r="S35" i="21"/>
  <c r="AC38" i="21"/>
  <c r="AB37" i="21"/>
  <c r="E13" i="6"/>
  <c r="E62" i="39" s="1"/>
  <c r="E8" i="6"/>
  <c r="F27" i="6" s="1"/>
  <c r="E10" i="6"/>
  <c r="E15" i="6"/>
  <c r="E64" i="39" s="1"/>
  <c r="E14" i="6"/>
  <c r="E63" i="39" s="1"/>
  <c r="G26" i="43"/>
  <c r="AB17" i="21"/>
  <c r="A1" i="79"/>
  <c r="E7" i="21"/>
  <c r="I7" i="21"/>
  <c r="G7" i="21"/>
  <c r="AC37" i="21"/>
  <c r="AA38" i="21"/>
  <c r="S37" i="21"/>
  <c r="AA23" i="21"/>
  <c r="U23" i="21"/>
  <c r="AB23" i="21"/>
  <c r="AA19" i="21"/>
  <c r="S19" i="21"/>
  <c r="W19" i="21"/>
  <c r="AC19" i="21"/>
  <c r="AB19" i="21"/>
  <c r="U19" i="21"/>
  <c r="AA17" i="21"/>
  <c r="S17" i="21"/>
  <c r="AB15" i="21"/>
  <c r="AA15" i="21"/>
  <c r="W9" i="21"/>
  <c r="AC9" i="21"/>
  <c r="H16" i="1"/>
  <c r="M6" i="1"/>
  <c r="G16" i="1"/>
  <c r="F10" i="39" s="1"/>
  <c r="S10" i="39" s="1"/>
  <c r="Q16" i="1"/>
  <c r="F27" i="69" s="1"/>
  <c r="F45" i="69"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C6" i="67"/>
  <c r="C32" i="67" s="1"/>
  <c r="F68" i="67"/>
  <c r="N59" i="67"/>
  <c r="L59" i="67"/>
  <c r="Q74" i="67" s="1"/>
  <c r="L58" i="67"/>
  <c r="Q73" i="67" s="1"/>
  <c r="M59" i="67"/>
  <c r="E26" i="43"/>
  <c r="E12" i="6"/>
  <c r="E57" i="40" s="1"/>
  <c r="E5" i="6"/>
  <c r="F26" i="43"/>
  <c r="N370" i="46"/>
  <c r="H26" i="43"/>
  <c r="N94" i="46"/>
  <c r="F64" i="15"/>
  <c r="F71" i="15"/>
  <c r="C27" i="15"/>
  <c r="F51" i="15"/>
  <c r="F59" i="15" s="1"/>
  <c r="C6" i="15"/>
  <c r="C32" i="15" s="1"/>
  <c r="F31" i="15"/>
  <c r="Q71" i="15"/>
  <c r="F68" i="15"/>
  <c r="I54" i="15"/>
  <c r="J53" i="15"/>
  <c r="L56" i="15" s="1"/>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61" i="43"/>
  <c r="B59" i="43" s="1"/>
  <c r="C28" i="43" s="1"/>
  <c r="B116" i="43"/>
  <c r="Z7" i="43"/>
  <c r="H7" i="34"/>
  <c r="AB7" i="34" s="1"/>
  <c r="T49" i="34" s="1"/>
  <c r="G49" i="34" s="1"/>
  <c r="E67" i="39"/>
  <c r="E69" i="39" s="1"/>
  <c r="J7" i="34"/>
  <c r="W7" i="34" s="1"/>
  <c r="F7" i="34"/>
  <c r="S7" i="34" s="1"/>
  <c r="AA26" i="35"/>
  <c r="S26" i="35"/>
  <c r="AC26" i="35"/>
  <c r="W26" i="35"/>
  <c r="AB26" i="35"/>
  <c r="U26" i="35"/>
  <c r="E56" i="40"/>
  <c r="E72" i="43"/>
  <c r="B70" i="43" s="1"/>
  <c r="E58" i="40"/>
  <c r="D5" i="43"/>
  <c r="C7" i="43"/>
  <c r="C5" i="43" s="1"/>
  <c r="D10" i="52"/>
  <c r="D125" i="9"/>
  <c r="D11" i="52" s="1"/>
  <c r="B7" i="74"/>
  <c r="C7" i="74" s="1"/>
  <c r="F59" i="67"/>
  <c r="H7" i="37"/>
  <c r="AB7" i="37" s="1"/>
  <c r="T42" i="37" s="1"/>
  <c r="G42" i="37" s="1"/>
  <c r="B40" i="1"/>
  <c r="F24" i="92" s="1"/>
  <c r="H7" i="33"/>
  <c r="J7" i="33"/>
  <c r="D65" i="40"/>
  <c r="E63" i="40"/>
  <c r="F48" i="35"/>
  <c r="S7" i="36"/>
  <c r="AA7" i="36"/>
  <c r="R36" i="36" s="1"/>
  <c r="W7" i="37"/>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12" i="1"/>
  <c r="AE10" i="1"/>
  <c r="F16" i="87"/>
  <c r="M22" i="87"/>
  <c r="M24" i="87"/>
  <c r="F42" i="87"/>
  <c r="F13" i="87"/>
  <c r="F6" i="87"/>
  <c r="C16" i="15"/>
  <c r="F43" i="87"/>
  <c r="F27" i="89"/>
  <c r="M6" i="87"/>
  <c r="F7" i="87"/>
  <c r="M29" i="87"/>
  <c r="M23" i="87"/>
  <c r="C16" i="67"/>
  <c r="F38" i="87"/>
  <c r="M28" i="87"/>
  <c r="M8" i="87"/>
  <c r="F40" i="87"/>
  <c r="F26" i="87"/>
  <c r="M26" i="87"/>
  <c r="L47" i="87"/>
  <c r="L48" i="87"/>
  <c r="M9" i="87"/>
  <c r="C76" i="87"/>
  <c r="F9" i="87"/>
  <c r="D9" i="89"/>
  <c r="C36" i="89"/>
  <c r="F8" i="87"/>
  <c r="J15" i="87"/>
  <c r="F36" i="87"/>
  <c r="C16" i="92"/>
  <c r="F37" i="87"/>
  <c r="E59" i="40" l="1"/>
  <c r="M7" i="87"/>
  <c r="J6" i="87" s="1"/>
  <c r="J5" i="87" s="1"/>
  <c r="F50" i="87"/>
  <c r="F66" i="87"/>
  <c r="C27" i="87"/>
  <c r="C6" i="87"/>
  <c r="C10" i="87" s="1"/>
  <c r="C5" i="87" s="1"/>
  <c r="C29" i="89"/>
  <c r="D27" i="89" s="1"/>
  <c r="F45" i="89"/>
  <c r="C47" i="89"/>
  <c r="D45" i="89" s="1"/>
  <c r="F68" i="87"/>
  <c r="F64" i="87"/>
  <c r="C9" i="89"/>
  <c r="F71" i="87"/>
  <c r="F51" i="87"/>
  <c r="Q71" i="87"/>
  <c r="F65" i="87"/>
  <c r="L60" i="87"/>
  <c r="J53" i="87"/>
  <c r="J57" i="87"/>
  <c r="J55" i="87" s="1"/>
  <c r="J58" i="87" s="1"/>
  <c r="Q50" i="87" s="1"/>
  <c r="I54" i="87"/>
  <c r="N59" i="87"/>
  <c r="L58" i="87"/>
  <c r="M59" i="87"/>
  <c r="L59" i="87"/>
  <c r="U11" i="21"/>
  <c r="AB11" i="21"/>
  <c r="D22" i="71"/>
  <c r="C21" i="71"/>
  <c r="F67" i="39"/>
  <c r="U27" i="39"/>
  <c r="AB27" i="39"/>
  <c r="W11" i="21"/>
  <c r="AC11" i="21"/>
  <c r="E30" i="6"/>
  <c r="F31" i="6"/>
  <c r="C49" i="92"/>
  <c r="C61" i="92" s="1"/>
  <c r="J5" i="92"/>
  <c r="J24" i="92" s="1"/>
  <c r="Q60" i="92"/>
  <c r="Q73" i="92"/>
  <c r="J19" i="92"/>
  <c r="J18" i="92"/>
  <c r="Q52" i="92"/>
  <c r="F1" i="92"/>
  <c r="Q61" i="92"/>
  <c r="Q74" i="92"/>
  <c r="C32" i="92"/>
  <c r="C33" i="92"/>
  <c r="Q57" i="92"/>
  <c r="Q66" i="92"/>
  <c r="C24" i="92"/>
  <c r="C53" i="92"/>
  <c r="C10" i="92"/>
  <c r="C5" i="92" s="1"/>
  <c r="F22" i="89"/>
  <c r="C44" i="89" s="1"/>
  <c r="D41" i="89" s="1"/>
  <c r="F22" i="91"/>
  <c r="L36" i="43"/>
  <c r="Q36" i="43" s="1"/>
  <c r="F24" i="87"/>
  <c r="C53" i="87"/>
  <c r="F28" i="12"/>
  <c r="C29" i="12" s="1"/>
  <c r="D28" i="12" s="1"/>
  <c r="F27" i="11"/>
  <c r="C29" i="11" s="1"/>
  <c r="D27" i="11" s="1"/>
  <c r="E56" i="39"/>
  <c r="E61" i="39"/>
  <c r="E27" i="6"/>
  <c r="K26" i="6" s="1"/>
  <c r="M26" i="6" s="1"/>
  <c r="I26" i="6" s="1"/>
  <c r="S26" i="6" s="1"/>
  <c r="E51" i="40"/>
  <c r="D26" i="43"/>
  <c r="C25" i="43" s="1"/>
  <c r="C33" i="43" s="1"/>
  <c r="E426" i="3"/>
  <c r="AK6" i="3"/>
  <c r="E123" i="3"/>
  <c r="E515" i="3"/>
  <c r="E489" i="3"/>
  <c r="E105" i="3"/>
  <c r="E367" i="3"/>
  <c r="E54" i="3"/>
  <c r="E220" i="3"/>
  <c r="E237" i="3"/>
  <c r="E445" i="3"/>
  <c r="E480" i="3"/>
  <c r="E353" i="3"/>
  <c r="E338" i="3"/>
  <c r="E53" i="3"/>
  <c r="U6" i="3"/>
  <c r="E474" i="3"/>
  <c r="E387" i="3"/>
  <c r="E327" i="3"/>
  <c r="E124" i="3"/>
  <c r="E571" i="3"/>
  <c r="E580" i="3"/>
  <c r="E500" i="3"/>
  <c r="J10" i="39"/>
  <c r="W10" i="39" s="1"/>
  <c r="AA10" i="39"/>
  <c r="F10" i="40"/>
  <c r="S10" i="40" s="1"/>
  <c r="E473" i="3"/>
  <c r="E159" i="3"/>
  <c r="S6" i="3"/>
  <c r="E291" i="3"/>
  <c r="E196" i="3"/>
  <c r="E136" i="3"/>
  <c r="E431" i="3"/>
  <c r="E214" i="3"/>
  <c r="E380" i="3"/>
  <c r="E522" i="3"/>
  <c r="E238" i="3"/>
  <c r="E342" i="3"/>
  <c r="E510" i="3"/>
  <c r="E212" i="3"/>
  <c r="E17" i="3"/>
  <c r="E359" i="3"/>
  <c r="E71" i="3"/>
  <c r="E357" i="3"/>
  <c r="E385" i="3"/>
  <c r="E109" i="3"/>
  <c r="E465" i="3"/>
  <c r="E175" i="3"/>
  <c r="E114" i="3"/>
  <c r="E333" i="3"/>
  <c r="E81" i="3"/>
  <c r="E16" i="6"/>
  <c r="H10" i="39"/>
  <c r="U10" i="39" s="1"/>
  <c r="E112" i="3"/>
  <c r="E491" i="3"/>
  <c r="E100" i="3"/>
  <c r="E38" i="3"/>
  <c r="E462" i="3"/>
  <c r="E94" i="3"/>
  <c r="AN6" i="3"/>
  <c r="E254" i="3"/>
  <c r="E213" i="3"/>
  <c r="E169" i="3"/>
  <c r="E418" i="3"/>
  <c r="E390" i="3"/>
  <c r="E574" i="3"/>
  <c r="E153" i="3"/>
  <c r="E29" i="3"/>
  <c r="E272" i="3"/>
  <c r="E546" i="3"/>
  <c r="E432" i="3"/>
  <c r="E379" i="3"/>
  <c r="E397" i="3"/>
  <c r="E257" i="3"/>
  <c r="E475" i="3"/>
  <c r="E529" i="3"/>
  <c r="E461" i="3"/>
  <c r="AI6" i="3"/>
  <c r="E172" i="3"/>
  <c r="AB6" i="3"/>
  <c r="E579" i="3"/>
  <c r="E572" i="3"/>
  <c r="E531" i="3"/>
  <c r="E204" i="3"/>
  <c r="E171" i="3"/>
  <c r="E406" i="3"/>
  <c r="E545" i="3"/>
  <c r="E301" i="3"/>
  <c r="AR6" i="3"/>
  <c r="E331" i="3"/>
  <c r="E269" i="3"/>
  <c r="E458" i="3"/>
  <c r="E583" i="3"/>
  <c r="E407" i="3"/>
  <c r="E121" i="3"/>
  <c r="E73" i="3"/>
  <c r="E176" i="3"/>
  <c r="E178" i="3"/>
  <c r="E19" i="3"/>
  <c r="AD6" i="3"/>
  <c r="AL6" i="3"/>
  <c r="E539" i="3"/>
  <c r="E286" i="3"/>
  <c r="E502" i="3"/>
  <c r="E430" i="3"/>
  <c r="AP6" i="3"/>
  <c r="E417" i="3"/>
  <c r="E95" i="3"/>
  <c r="E258" i="3"/>
  <c r="E349" i="3"/>
  <c r="E59" i="3"/>
  <c r="E64" i="3"/>
  <c r="E142" i="3"/>
  <c r="E300" i="3"/>
  <c r="E23" i="3"/>
  <c r="E144" i="3"/>
  <c r="E381" i="3"/>
  <c r="E118" i="3"/>
  <c r="E513" i="3"/>
  <c r="E137" i="3"/>
  <c r="E36" i="3"/>
  <c r="E205" i="3"/>
  <c r="E369" i="3"/>
  <c r="E405" i="3"/>
  <c r="E408" i="3"/>
  <c r="E497" i="3"/>
  <c r="E420" i="3"/>
  <c r="E115" i="3"/>
  <c r="E243" i="3"/>
  <c r="E42" i="3"/>
  <c r="E412" i="3"/>
  <c r="E129" i="3"/>
  <c r="E235" i="3"/>
  <c r="E35" i="3"/>
  <c r="E206" i="3"/>
  <c r="AF6" i="3"/>
  <c r="E287" i="3"/>
  <c r="E436" i="3"/>
  <c r="E259" i="3"/>
  <c r="E47" i="3"/>
  <c r="E266" i="3"/>
  <c r="E250" i="3"/>
  <c r="E222" i="3"/>
  <c r="E62" i="3"/>
  <c r="E244" i="3"/>
  <c r="E542" i="3"/>
  <c r="E487" i="3"/>
  <c r="E374" i="3"/>
  <c r="E413" i="3"/>
  <c r="E90" i="3"/>
  <c r="E58" i="3"/>
  <c r="E138" i="3"/>
  <c r="E354" i="3"/>
  <c r="E284" i="3"/>
  <c r="E323" i="3"/>
  <c r="E188" i="3"/>
  <c r="E493" i="3"/>
  <c r="E486" i="3"/>
  <c r="E490" i="3"/>
  <c r="E498" i="3"/>
  <c r="E463" i="3"/>
  <c r="E536" i="3"/>
  <c r="E575" i="3"/>
  <c r="E442" i="3"/>
  <c r="E449" i="3"/>
  <c r="E554" i="3"/>
  <c r="E479" i="3"/>
  <c r="E152" i="3"/>
  <c r="E241" i="3"/>
  <c r="E389" i="3"/>
  <c r="E409" i="3"/>
  <c r="E46" i="3"/>
  <c r="E200" i="3"/>
  <c r="E371" i="3"/>
  <c r="E84" i="3"/>
  <c r="E184" i="3"/>
  <c r="E68"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148" i="3"/>
  <c r="E499" i="3"/>
  <c r="E466" i="3"/>
  <c r="E255" i="3"/>
  <c r="E517" i="3"/>
  <c r="E56" i="3"/>
  <c r="E132" i="3"/>
  <c r="E292" i="3"/>
  <c r="E544" i="3"/>
  <c r="E425" i="3"/>
  <c r="E103" i="3"/>
  <c r="E267" i="3"/>
  <c r="E310" i="3"/>
  <c r="E67" i="3"/>
  <c r="E233" i="3"/>
  <c r="E63"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199" i="3"/>
  <c r="E435" i="3"/>
  <c r="E76" i="3"/>
  <c r="E492" i="3"/>
  <c r="E309" i="3"/>
  <c r="E197" i="3"/>
  <c r="E470" i="3"/>
  <c r="E482" i="3"/>
  <c r="E49" i="3"/>
  <c r="E240" i="3"/>
  <c r="E154" i="3"/>
  <c r="E464" i="3"/>
  <c r="E582" i="3"/>
  <c r="E297" i="3"/>
  <c r="E307" i="3"/>
  <c r="E179" i="3"/>
  <c r="E393" i="3"/>
  <c r="E440" i="3"/>
  <c r="E401" i="3"/>
  <c r="E202" i="3"/>
  <c r="E372" i="3"/>
  <c r="E15" i="3"/>
  <c r="E392" i="3"/>
  <c r="E365" i="3"/>
  <c r="E434" i="3"/>
  <c r="Q6" i="3"/>
  <c r="AE6" i="3"/>
  <c r="E203" i="3"/>
  <c r="I6" i="3"/>
  <c r="AG6" i="3"/>
  <c r="E581" i="3"/>
  <c r="E295" i="3"/>
  <c r="E125" i="3"/>
  <c r="E239" i="3"/>
  <c r="E358" i="3"/>
  <c r="E320" i="3"/>
  <c r="E415" i="3"/>
  <c r="E61" i="3"/>
  <c r="E518" i="3"/>
  <c r="E173" i="3"/>
  <c r="E326" i="3"/>
  <c r="E314" i="3"/>
  <c r="E193" i="3"/>
  <c r="E527" i="3"/>
  <c r="E450" i="3"/>
  <c r="E150" i="3"/>
  <c r="E31" i="3"/>
  <c r="E271" i="3"/>
  <c r="E478" i="3"/>
  <c r="AS6" i="3"/>
  <c r="E162" i="3"/>
  <c r="E384" i="3"/>
  <c r="E530" i="3"/>
  <c r="E388" i="3"/>
  <c r="E143" i="3"/>
  <c r="E561" i="3"/>
  <c r="E231" i="3"/>
  <c r="E528" i="3"/>
  <c r="E180" i="3"/>
  <c r="E350" i="3"/>
  <c r="E399" i="3"/>
  <c r="R6" i="3"/>
  <c r="E37" i="3"/>
  <c r="E467" i="3"/>
  <c r="E33" i="3"/>
  <c r="E79" i="3"/>
  <c r="T6" i="3"/>
  <c r="E41" i="3"/>
  <c r="E78" i="3"/>
  <c r="E370" i="3"/>
  <c r="E110" i="3"/>
  <c r="E364" i="3"/>
  <c r="E416" i="3"/>
  <c r="E520" i="3"/>
  <c r="E446" i="3"/>
  <c r="E48" i="3"/>
  <c r="E329" i="3"/>
  <c r="E543" i="3"/>
  <c r="AH6" i="3"/>
  <c r="E25" i="3"/>
  <c r="E242" i="3"/>
  <c r="L6" i="3"/>
  <c r="E170" i="3"/>
  <c r="E52" i="3"/>
  <c r="E375" i="3"/>
  <c r="E262" i="3"/>
  <c r="E437" i="3"/>
  <c r="E429" i="3"/>
  <c r="E274" i="3"/>
  <c r="E236" i="3"/>
  <c r="E448" i="3"/>
  <c r="E404" i="3"/>
  <c r="E316" i="3"/>
  <c r="E366" i="3"/>
  <c r="E569" i="3"/>
  <c r="E559" i="3"/>
  <c r="E294" i="3"/>
  <c r="E260" i="3"/>
  <c r="E245" i="3"/>
  <c r="E293" i="3"/>
  <c r="E348" i="3"/>
  <c r="E253" i="3"/>
  <c r="E511" i="3"/>
  <c r="E519" i="3"/>
  <c r="E457" i="3"/>
  <c r="E433" i="3"/>
  <c r="E279" i="3"/>
  <c r="E567" i="3"/>
  <c r="E107" i="3"/>
  <c r="E414" i="3"/>
  <c r="E476" i="3"/>
  <c r="E186" i="3"/>
  <c r="E44" i="3"/>
  <c r="E343" i="3"/>
  <c r="E555" i="3"/>
  <c r="E270" i="3"/>
  <c r="E538" i="3"/>
  <c r="E216" i="3"/>
  <c r="E183" i="3"/>
  <c r="E91" i="3"/>
  <c r="E586" i="3"/>
  <c r="E347" i="3"/>
  <c r="E568" i="3"/>
  <c r="E228" i="3"/>
  <c r="E560" i="3"/>
  <c r="E587" i="3"/>
  <c r="E106" i="3"/>
  <c r="E315" i="3"/>
  <c r="E368" i="3"/>
  <c r="Z6" i="3"/>
  <c r="E345" i="3"/>
  <c r="E28" i="3"/>
  <c r="E273" i="3"/>
  <c r="E217" i="3"/>
  <c r="AJ6" i="3"/>
  <c r="E247" i="3"/>
  <c r="E570" i="3"/>
  <c r="E335" i="3"/>
  <c r="E278" i="3"/>
  <c r="E535" i="3"/>
  <c r="E263" i="3"/>
  <c r="E246" i="3"/>
  <c r="E13" i="3"/>
  <c r="E352" i="3"/>
  <c r="E313" i="3"/>
  <c r="E438" i="3"/>
  <c r="E471" i="3"/>
  <c r="E541" i="3"/>
  <c r="E192" i="3"/>
  <c r="E160" i="3"/>
  <c r="E355" i="3"/>
  <c r="AQ6" i="3"/>
  <c r="E512" i="3"/>
  <c r="E281" i="3"/>
  <c r="E275" i="3"/>
  <c r="E158" i="3"/>
  <c r="E248" i="3"/>
  <c r="E165" i="3"/>
  <c r="E459" i="3"/>
  <c r="E39" i="3"/>
  <c r="E98" i="3"/>
  <c r="E127" i="3"/>
  <c r="E16" i="3"/>
  <c r="E427" i="3"/>
  <c r="J6" i="3"/>
  <c r="E108" i="3"/>
  <c r="E226" i="3"/>
  <c r="E43" i="3"/>
  <c r="E194" i="3"/>
  <c r="E340" i="3"/>
  <c r="E156" i="3"/>
  <c r="E120" i="3"/>
  <c r="E481" i="3"/>
  <c r="E55" i="3"/>
  <c r="E394" i="3"/>
  <c r="E252" i="3"/>
  <c r="E443" i="3"/>
  <c r="E88" i="3"/>
  <c r="E334" i="3"/>
  <c r="E282" i="3"/>
  <c r="E396" i="3"/>
  <c r="E551" i="3"/>
  <c r="E130" i="3"/>
  <c r="E550" i="3"/>
  <c r="E382" i="3"/>
  <c r="E336" i="3"/>
  <c r="E332" i="3"/>
  <c r="E453" i="3"/>
  <c r="E99" i="3"/>
  <c r="E573" i="3"/>
  <c r="E562" i="3"/>
  <c r="E72" i="3"/>
  <c r="E351" i="3"/>
  <c r="E549" i="3"/>
  <c r="E585" i="3"/>
  <c r="E477" i="3"/>
  <c r="E447" i="3"/>
  <c r="E210" i="3"/>
  <c r="E441" i="3"/>
  <c r="E305" i="3"/>
  <c r="E410" i="3"/>
  <c r="E533" i="3"/>
  <c r="E439" i="3"/>
  <c r="E185" i="3"/>
  <c r="E361" i="3"/>
  <c r="E134" i="3"/>
  <c r="E495" i="3"/>
  <c r="E312" i="3"/>
  <c r="E181" i="3"/>
  <c r="E277" i="3"/>
  <c r="E472" i="3"/>
  <c r="E577" i="3"/>
  <c r="E146" i="3"/>
  <c r="E362" i="3"/>
  <c r="E89" i="3"/>
  <c r="AO6" i="3"/>
  <c r="E557" i="3"/>
  <c r="E70" i="3"/>
  <c r="E377" i="3"/>
  <c r="E526" i="3"/>
  <c r="E509" i="3"/>
  <c r="E201" i="3"/>
  <c r="M6" i="3"/>
  <c r="E215" i="3"/>
  <c r="E563" i="3"/>
  <c r="E161" i="3"/>
  <c r="E423" i="3"/>
  <c r="X6" i="3"/>
  <c r="E122" i="3"/>
  <c r="E306" i="3"/>
  <c r="E532" i="3"/>
  <c r="E288" i="3"/>
  <c r="H10" i="40"/>
  <c r="AB10" i="40" s="1"/>
  <c r="J10" i="40"/>
  <c r="AC10" i="40" s="1"/>
  <c r="E60" i="40"/>
  <c r="E20" i="3"/>
  <c r="E223" i="3"/>
  <c r="E484" i="3"/>
  <c r="AA6" i="3"/>
  <c r="E402" i="3"/>
  <c r="E221" i="3"/>
  <c r="E565" i="3"/>
  <c r="E298" i="3"/>
  <c r="E506" i="3"/>
  <c r="E97" i="3"/>
  <c r="O6" i="3"/>
  <c r="E501" i="3"/>
  <c r="AM6" i="3"/>
  <c r="E126" i="3"/>
  <c r="E403" i="3"/>
  <c r="E548" i="3"/>
  <c r="E145" i="3"/>
  <c r="E93" i="3"/>
  <c r="E208" i="3"/>
  <c r="E537" i="3"/>
  <c r="E224" i="3"/>
  <c r="E386" i="3"/>
  <c r="E191" i="3"/>
  <c r="E69" i="3"/>
  <c r="E514" i="3"/>
  <c r="E322" i="3"/>
  <c r="E211" i="3"/>
  <c r="E400" i="3"/>
  <c r="E227" i="3"/>
  <c r="E454" i="3"/>
  <c r="K6" i="3"/>
  <c r="E77" i="3"/>
  <c r="E503" i="3"/>
  <c r="E337" i="3"/>
  <c r="E27" i="3"/>
  <c r="E318" i="3"/>
  <c r="E45" i="3"/>
  <c r="E578" i="3"/>
  <c r="E229" i="3"/>
  <c r="E558" i="3"/>
  <c r="E344" i="3"/>
  <c r="E234" i="3"/>
  <c r="E483" i="3"/>
  <c r="E209" i="3"/>
  <c r="E87" i="3"/>
  <c r="E556" i="3"/>
  <c r="E363" i="3"/>
  <c r="E225" i="3"/>
  <c r="E299" i="3"/>
  <c r="E280" i="3"/>
  <c r="E303" i="3"/>
  <c r="E302" i="3"/>
  <c r="E304" i="3"/>
  <c r="E321" i="3"/>
  <c r="E523" i="3"/>
  <c r="E285" i="3"/>
  <c r="E328" i="3"/>
  <c r="E319" i="3"/>
  <c r="E317" i="3"/>
  <c r="E92" i="3"/>
  <c r="E547" i="3"/>
  <c r="E411" i="3"/>
  <c r="E207" i="3"/>
  <c r="E14" i="3"/>
  <c r="E168" i="3"/>
  <c r="W6" i="3"/>
  <c r="E157" i="3"/>
  <c r="E521" i="3"/>
  <c r="E135" i="3"/>
  <c r="E189" i="3"/>
  <c r="E311" i="3"/>
  <c r="E268" i="3"/>
  <c r="E182" i="3"/>
  <c r="E485" i="3"/>
  <c r="E74" i="3"/>
  <c r="E468" i="3"/>
  <c r="E133" i="3"/>
  <c r="E141" i="3"/>
  <c r="E261" i="3"/>
  <c r="E508" i="3"/>
  <c r="E505" i="3"/>
  <c r="E111" i="3"/>
  <c r="E85" i="3"/>
  <c r="E117" i="3"/>
  <c r="N6" i="3"/>
  <c r="E576" i="3"/>
  <c r="E177" i="3"/>
  <c r="E540" i="3"/>
  <c r="E422" i="3"/>
  <c r="E155" i="3"/>
  <c r="E83" i="3"/>
  <c r="E524" i="3"/>
  <c r="I3" i="6"/>
  <c r="T44" i="71"/>
  <c r="D44" i="71"/>
  <c r="AZ5" i="3"/>
  <c r="AY6" i="3" s="1"/>
  <c r="AY124" i="3" s="1"/>
  <c r="W11" i="39"/>
  <c r="AC11" i="39"/>
  <c r="N65" i="71"/>
  <c r="N66" i="71"/>
  <c r="E15" i="71"/>
  <c r="E14" i="71" s="1"/>
  <c r="E13" i="71" s="1"/>
  <c r="E12" i="71" s="1"/>
  <c r="V16" i="71"/>
  <c r="AA11" i="39"/>
  <c r="S11" i="39"/>
  <c r="K15" i="1"/>
  <c r="K16" i="1" s="1"/>
  <c r="L19" i="6"/>
  <c r="L27" i="6" s="1"/>
  <c r="C29" i="69"/>
  <c r="D27" i="69" s="1"/>
  <c r="C47" i="69"/>
  <c r="D45" i="69" s="1"/>
  <c r="Q61" i="67"/>
  <c r="J5" i="67"/>
  <c r="J24" i="67" s="1"/>
  <c r="Q52" i="15"/>
  <c r="Q52" i="67"/>
  <c r="F1" i="15"/>
  <c r="C49" i="67"/>
  <c r="Q60" i="67"/>
  <c r="Q61" i="15"/>
  <c r="O6" i="1"/>
  <c r="P6" i="1" s="1"/>
  <c r="C13" i="12" s="1"/>
  <c r="D19" i="12"/>
  <c r="C19" i="12" s="1"/>
  <c r="D9" i="11"/>
  <c r="C9" i="11" s="1"/>
  <c r="D9" i="69"/>
  <c r="C9" i="69" s="1"/>
  <c r="Q73" i="15"/>
  <c r="J5" i="15"/>
  <c r="J24" i="15" s="1"/>
  <c r="C49" i="15"/>
  <c r="B11" i="71"/>
  <c r="B10" i="71" s="1"/>
  <c r="B9" i="71" s="1"/>
  <c r="B8" i="71" s="1"/>
  <c r="B7" i="71" s="1"/>
  <c r="B6" i="71" s="1"/>
  <c r="B5" i="71" s="1"/>
  <c r="S12" i="71"/>
  <c r="T40" i="71"/>
  <c r="D40" i="71"/>
  <c r="T32" i="71"/>
  <c r="D32" i="71"/>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M16" i="1"/>
  <c r="D3" i="2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AE8" i="1"/>
  <c r="D9" i="68"/>
  <c r="D10" i="91"/>
  <c r="F41" i="92"/>
  <c r="M27" i="67"/>
  <c r="C16" i="87"/>
  <c r="C17" i="92"/>
  <c r="AE6" i="1"/>
  <c r="M27" i="87"/>
  <c r="F27" i="68"/>
  <c r="M27" i="15"/>
  <c r="C36" i="68"/>
  <c r="J26" i="87" l="1"/>
  <c r="J24" i="87"/>
  <c r="D21" i="71"/>
  <c r="C20" i="71"/>
  <c r="Q61" i="87"/>
  <c r="Q74" i="87"/>
  <c r="Q57" i="87"/>
  <c r="Q66" i="87"/>
  <c r="R50" i="34"/>
  <c r="Q60" i="87"/>
  <c r="Q73" i="87"/>
  <c r="C49" i="87"/>
  <c r="C61" i="87" s="1"/>
  <c r="L56" i="87"/>
  <c r="F1" i="87"/>
  <c r="Q52" i="87"/>
  <c r="C32" i="87"/>
  <c r="C33" i="87"/>
  <c r="J19" i="87"/>
  <c r="J18" i="87"/>
  <c r="C48" i="92"/>
  <c r="C60" i="92" s="1"/>
  <c r="J26" i="92"/>
  <c r="J29" i="92" s="1"/>
  <c r="C10" i="91"/>
  <c r="C8" i="91" s="1"/>
  <c r="D19" i="91"/>
  <c r="D37" i="91" s="1"/>
  <c r="C37" i="91" s="1"/>
  <c r="E8" i="70"/>
  <c r="P36" i="43"/>
  <c r="L37" i="43"/>
  <c r="O37" i="43" s="1"/>
  <c r="M36" i="43"/>
  <c r="N36" i="43"/>
  <c r="O36" i="43"/>
  <c r="F69" i="92"/>
  <c r="C26" i="89"/>
  <c r="D22" i="89" s="1"/>
  <c r="C38" i="92"/>
  <c r="C24" i="89"/>
  <c r="F41" i="89"/>
  <c r="F41" i="91"/>
  <c r="C24" i="91"/>
  <c r="C26" i="91"/>
  <c r="D22" i="91" s="1"/>
  <c r="C44" i="91"/>
  <c r="D41" i="91" s="1"/>
  <c r="C47" i="11"/>
  <c r="D45" i="11" s="1"/>
  <c r="C29" i="68"/>
  <c r="D27" i="68" s="1"/>
  <c r="F45" i="68"/>
  <c r="C38" i="87"/>
  <c r="C24" i="87"/>
  <c r="C47" i="68"/>
  <c r="D45" i="68" s="1"/>
  <c r="AA10" i="40"/>
  <c r="W10" i="40"/>
  <c r="AB10" i="39"/>
  <c r="H6" i="3"/>
  <c r="AC6" i="3"/>
  <c r="U10" i="40"/>
  <c r="O16" i="1"/>
  <c r="E3" i="6"/>
  <c r="E11" i="71"/>
  <c r="E10" i="71" s="1"/>
  <c r="E9" i="71" s="1"/>
  <c r="E8" i="71" s="1"/>
  <c r="E7" i="71" s="1"/>
  <c r="E6" i="71" s="1"/>
  <c r="E5" i="71" s="1"/>
  <c r="V12" i="71"/>
  <c r="AY54" i="3"/>
  <c r="AY167" i="3"/>
  <c r="C9" i="68"/>
  <c r="AY519" i="3"/>
  <c r="AY112" i="3"/>
  <c r="AY47" i="3"/>
  <c r="AY367" i="3"/>
  <c r="AY581" i="3"/>
  <c r="AY361" i="3"/>
  <c r="AY15" i="3"/>
  <c r="AY172" i="3"/>
  <c r="AY175" i="3"/>
  <c r="AY235" i="3"/>
  <c r="BL6" i="3"/>
  <c r="AY453" i="3"/>
  <c r="AY286" i="3"/>
  <c r="AY117" i="3"/>
  <c r="BE6" i="3"/>
  <c r="AY351" i="3"/>
  <c r="AY505" i="3"/>
  <c r="AY482" i="3"/>
  <c r="BD6" i="3"/>
  <c r="AY314" i="3"/>
  <c r="AY266" i="3"/>
  <c r="AY326" i="3"/>
  <c r="AY355" i="3"/>
  <c r="AY123" i="3"/>
  <c r="AY485" i="3"/>
  <c r="AY418" i="3"/>
  <c r="AY159" i="3"/>
  <c r="AY509" i="3"/>
  <c r="AY324" i="3"/>
  <c r="AY356" i="3"/>
  <c r="AY360" i="3"/>
  <c r="AY378" i="3"/>
  <c r="AY506" i="3"/>
  <c r="AY344" i="3"/>
  <c r="AY158" i="3"/>
  <c r="AY520" i="3"/>
  <c r="AY29" i="3"/>
  <c r="AY52" i="3"/>
  <c r="AY455" i="3"/>
  <c r="BN6" i="3"/>
  <c r="AY57" i="3"/>
  <c r="AY53" i="3"/>
  <c r="AY387" i="3"/>
  <c r="AY317" i="3"/>
  <c r="AY283" i="3"/>
  <c r="AY327" i="3"/>
  <c r="AY236" i="3"/>
  <c r="AY400" i="3"/>
  <c r="AY293" i="3"/>
  <c r="AY547" i="3"/>
  <c r="AY248" i="3"/>
  <c r="BP6" i="3"/>
  <c r="AY476" i="3"/>
  <c r="AY174" i="3"/>
  <c r="AY339" i="3"/>
  <c r="AY576" i="3"/>
  <c r="AY296" i="3"/>
  <c r="AY537" i="3"/>
  <c r="AY336" i="3"/>
  <c r="AY498" i="3"/>
  <c r="AY459" i="3"/>
  <c r="AY241" i="3"/>
  <c r="AY70" i="3"/>
  <c r="AY405" i="3"/>
  <c r="AY221" i="3"/>
  <c r="AY94" i="3"/>
  <c r="AY579" i="3"/>
  <c r="AY313" i="3"/>
  <c r="AY189" i="3"/>
  <c r="AY536" i="3"/>
  <c r="AY72" i="3"/>
  <c r="AY84" i="3"/>
  <c r="AY350" i="3"/>
  <c r="AY516" i="3"/>
  <c r="AY93" i="3"/>
  <c r="AY89" i="3"/>
  <c r="AY237" i="3"/>
  <c r="AY388" i="3"/>
  <c r="AY149" i="3"/>
  <c r="AY260" i="3"/>
  <c r="AY58" i="3"/>
  <c r="AY521" i="3"/>
  <c r="AY257" i="3"/>
  <c r="AY568" i="3"/>
  <c r="AY394" i="3"/>
  <c r="AY493" i="3"/>
  <c r="AY445" i="3"/>
  <c r="AY113" i="3"/>
  <c r="AY322" i="3"/>
  <c r="AY102" i="3"/>
  <c r="AY216" i="3"/>
  <c r="AY530" i="3"/>
  <c r="AY304" i="3"/>
  <c r="AY205" i="3"/>
  <c r="AY448" i="3"/>
  <c r="AY256" i="3"/>
  <c r="AY27" i="3"/>
  <c r="AY558" i="3"/>
  <c r="AY63" i="3"/>
  <c r="AY307" i="3"/>
  <c r="AY200" i="3"/>
  <c r="AY451" i="3"/>
  <c r="AY151" i="3"/>
  <c r="AY522" i="3"/>
  <c r="AY337" i="3"/>
  <c r="AY583" i="3"/>
  <c r="AY288" i="3"/>
  <c r="AY440" i="3"/>
  <c r="AY30" i="3"/>
  <c r="AY399" i="3"/>
  <c r="AY218" i="3"/>
  <c r="BC6" i="3"/>
  <c r="AY323" i="3"/>
  <c r="AY128" i="3"/>
  <c r="AY587" i="3"/>
  <c r="AY466" i="3"/>
  <c r="AY135" i="3"/>
  <c r="AY542" i="3"/>
  <c r="AY458" i="3"/>
  <c r="AY234" i="3"/>
  <c r="AY101" i="3"/>
  <c r="AY483" i="3"/>
  <c r="AY270" i="3"/>
  <c r="AY478" i="3"/>
  <c r="AY81" i="3"/>
  <c r="AY340" i="3"/>
  <c r="AY302" i="3"/>
  <c r="AY311" i="3"/>
  <c r="AY534" i="3"/>
  <c r="AY73" i="3"/>
  <c r="AY77" i="3"/>
  <c r="AY209" i="3"/>
  <c r="AY23" i="3"/>
  <c r="AY566" i="3"/>
  <c r="AY477" i="3"/>
  <c r="AY240" i="3"/>
  <c r="AY164" i="3"/>
  <c r="AY107" i="3"/>
  <c r="AY408" i="3"/>
  <c r="AY359" i="3"/>
  <c r="AY301" i="3"/>
  <c r="AY79" i="3"/>
  <c r="AY515" i="3"/>
  <c r="AY402" i="3"/>
  <c r="AY305" i="3"/>
  <c r="AY267" i="3"/>
  <c r="AY64" i="3"/>
  <c r="AY474" i="3"/>
  <c r="AY272" i="3"/>
  <c r="AY22" i="3"/>
  <c r="AY421" i="3"/>
  <c r="AY383" i="3"/>
  <c r="AY140" i="3"/>
  <c r="AY548" i="3"/>
  <c r="AY17" i="3"/>
  <c r="AY461" i="3"/>
  <c r="AY385" i="3"/>
  <c r="AY142" i="3"/>
  <c r="AY504" i="3"/>
  <c r="AY416" i="3"/>
  <c r="AY338" i="3"/>
  <c r="AY213" i="3"/>
  <c r="AY119" i="3"/>
  <c r="AY184" i="3"/>
  <c r="AY86" i="3"/>
  <c r="AY517" i="3"/>
  <c r="AY456" i="3"/>
  <c r="AY331" i="3"/>
  <c r="AY280" i="3"/>
  <c r="AY35" i="3"/>
  <c r="AY531" i="3"/>
  <c r="D3" i="6"/>
  <c r="AY410" i="3"/>
  <c r="AY487" i="3"/>
  <c r="AY369" i="3"/>
  <c r="AY129" i="3"/>
  <c r="AY80" i="3"/>
  <c r="AY584" i="3"/>
  <c r="AY406" i="3"/>
  <c r="AY275" i="3"/>
  <c r="AY373" i="3"/>
  <c r="AY162" i="3"/>
  <c r="AY573" i="3"/>
  <c r="AY116" i="3"/>
  <c r="AY132" i="3"/>
  <c r="AY508" i="3"/>
  <c r="AY454" i="3"/>
  <c r="AY130" i="3"/>
  <c r="AY222" i="3"/>
  <c r="AY182" i="3"/>
  <c r="AY535" i="3"/>
  <c r="AY425" i="3"/>
  <c r="BG6" i="3"/>
  <c r="AY475" i="3"/>
  <c r="AY197" i="3"/>
  <c r="AY262" i="3"/>
  <c r="AY44" i="3"/>
  <c r="AY452" i="3"/>
  <c r="AY460" i="3"/>
  <c r="AY33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BT6" i="3"/>
  <c r="AY443" i="3"/>
  <c r="AY386" i="3"/>
  <c r="AY143" i="3"/>
  <c r="AY71" i="3"/>
  <c r="AY500" i="3"/>
  <c r="AY315" i="3"/>
  <c r="AY265" i="3"/>
  <c r="AY19" i="3"/>
  <c r="AY551" i="3"/>
  <c r="AY415" i="3"/>
  <c r="AY479" i="3"/>
  <c r="AY250" i="3"/>
  <c r="AY21" i="3"/>
  <c r="AY413" i="3"/>
  <c r="AY208" i="3"/>
  <c r="AY195" i="3"/>
  <c r="AY528" i="3"/>
  <c r="AY347" i="3"/>
  <c r="AY120" i="3"/>
  <c r="AY110" i="3"/>
  <c r="AY564" i="3"/>
  <c r="AY450" i="3"/>
  <c r="AY321" i="3"/>
  <c r="AY122" i="3"/>
  <c r="AY586" i="3"/>
  <c r="AY550" i="3"/>
  <c r="AY306" i="3"/>
  <c r="AY391" i="3"/>
  <c r="AY273" i="3"/>
  <c r="AY179" i="3"/>
  <c r="AY55" i="3"/>
  <c r="AY512" i="3"/>
  <c r="AY424" i="3"/>
  <c r="AY346" i="3"/>
  <c r="AY249" i="3"/>
  <c r="AY192" i="3"/>
  <c r="AY578" i="3"/>
  <c r="AY524" i="3"/>
  <c r="AY439" i="3"/>
  <c r="AY471" i="3"/>
  <c r="AY364" i="3"/>
  <c r="AY287" i="3"/>
  <c r="AY48" i="3"/>
  <c r="AY494" i="3"/>
  <c r="AY419" i="3"/>
  <c r="AY215" i="3"/>
  <c r="AY368" i="3"/>
  <c r="AY173" i="3"/>
  <c r="AY539" i="3"/>
  <c r="AY229" i="3"/>
  <c r="AY31" i="3"/>
  <c r="AY556" i="3"/>
  <c r="AY422" i="3"/>
  <c r="AY279" i="3"/>
  <c r="AY389" i="3"/>
  <c r="AY178" i="3"/>
  <c r="AY562" i="3"/>
  <c r="AY199" i="3"/>
  <c r="AY171" i="3"/>
  <c r="AY430" i="3"/>
  <c r="AY295" i="3"/>
  <c r="AY392" i="3"/>
  <c r="AY185" i="3"/>
  <c r="AY549" i="3"/>
  <c r="AY106" i="3"/>
  <c r="AY160" i="3"/>
  <c r="AY188" i="3"/>
  <c r="C48" i="67"/>
  <c r="C60" i="67" s="1"/>
  <c r="C48" i="15"/>
  <c r="C66" i="15" s="1"/>
  <c r="D116" i="43"/>
  <c r="M21" i="6"/>
  <c r="I21" i="6" s="1"/>
  <c r="E6" i="70"/>
  <c r="C34" i="43"/>
  <c r="E34" i="43" s="1"/>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C34" i="69"/>
  <c r="C34" i="91"/>
  <c r="C14" i="92"/>
  <c r="F41" i="15"/>
  <c r="AE7" i="1"/>
  <c r="C17" i="87"/>
  <c r="C14" i="67"/>
  <c r="C17" i="15"/>
  <c r="F41" i="67"/>
  <c r="C17" i="67"/>
  <c r="F41" i="87"/>
  <c r="D10" i="89"/>
  <c r="C48" i="87" l="1"/>
  <c r="C66" i="87" s="1"/>
  <c r="C19" i="71"/>
  <c r="T20" i="71"/>
  <c r="D20" i="71"/>
  <c r="U20" i="71" s="1"/>
  <c r="F69" i="67"/>
  <c r="C66" i="92"/>
  <c r="C10" i="89"/>
  <c r="C8" i="89" s="1"/>
  <c r="D19" i="89"/>
  <c r="D37" i="89" s="1"/>
  <c r="C37" i="89" s="1"/>
  <c r="S21" i="6"/>
  <c r="L18" i="90"/>
  <c r="S20" i="6"/>
  <c r="L18" i="88"/>
  <c r="Q37" i="43"/>
  <c r="M37" i="43"/>
  <c r="N37" i="43"/>
  <c r="P37" i="43"/>
  <c r="C18" i="92"/>
  <c r="C15" i="92"/>
  <c r="C35" i="91"/>
  <c r="C38" i="91"/>
  <c r="F50" i="91"/>
  <c r="F50" i="89"/>
  <c r="F69" i="87"/>
  <c r="J29" i="87"/>
  <c r="E7" i="70"/>
  <c r="E6" i="3"/>
  <c r="D13" i="6"/>
  <c r="D14" i="12"/>
  <c r="D17" i="12" s="1"/>
  <c r="C17" i="12" s="1"/>
  <c r="D24" i="6"/>
  <c r="D11" i="6"/>
  <c r="D10" i="6"/>
  <c r="D15" i="6"/>
  <c r="D23" i="6"/>
  <c r="D8" i="6"/>
  <c r="H26" i="6"/>
  <c r="C18" i="4"/>
  <c r="C4" i="52" s="1"/>
  <c r="B45" i="72" s="1"/>
  <c r="D26" i="6"/>
  <c r="E61" i="40"/>
  <c r="D19" i="6"/>
  <c r="D9" i="6"/>
  <c r="D25" i="6"/>
  <c r="D12" i="6"/>
  <c r="M19" i="9"/>
  <c r="C118" i="9" s="1"/>
  <c r="D28" i="6"/>
  <c r="D5" i="6"/>
  <c r="D29" i="6"/>
  <c r="D14" i="6"/>
  <c r="D20" i="6"/>
  <c r="E6" i="6"/>
  <c r="D19" i="11"/>
  <c r="C19" i="11" s="1"/>
  <c r="D37" i="11"/>
  <c r="C17" i="4"/>
  <c r="B4" i="52" s="1"/>
  <c r="B43" i="72" s="1"/>
  <c r="D3" i="34"/>
  <c r="D3" i="37"/>
  <c r="M18" i="9"/>
  <c r="B118" i="9" s="1"/>
  <c r="B14" i="74" s="1"/>
  <c r="D3" i="33"/>
  <c r="D21" i="6"/>
  <c r="D22" i="6"/>
  <c r="F69" i="15"/>
  <c r="C66" i="67"/>
  <c r="C60" i="15"/>
  <c r="H22" i="6"/>
  <c r="H24" i="6"/>
  <c r="H21" i="6"/>
  <c r="H25" i="6"/>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C14" i="87"/>
  <c r="C34" i="68"/>
  <c r="C34" i="89"/>
  <c r="B6" i="76"/>
  <c r="C60" i="87" l="1"/>
  <c r="C18" i="71"/>
  <c r="D19" i="71"/>
  <c r="C19" i="92"/>
  <c r="C20" i="92" s="1"/>
  <c r="C23" i="92" s="1"/>
  <c r="C33" i="91"/>
  <c r="C39" i="91" s="1"/>
  <c r="C43" i="91" s="1"/>
  <c r="C38" i="89"/>
  <c r="C35" i="89"/>
  <c r="L19" i="88"/>
  <c r="M19" i="88"/>
  <c r="C118" i="88" s="1"/>
  <c r="L19" i="90"/>
  <c r="M19" i="90"/>
  <c r="C118" i="90" s="1"/>
  <c r="C18" i="87"/>
  <c r="C15" i="87"/>
  <c r="R24" i="6"/>
  <c r="R11" i="1" s="1"/>
  <c r="A7" i="51"/>
  <c r="B7" i="72" s="1"/>
  <c r="D30" i="6"/>
  <c r="A10" i="51"/>
  <c r="B9" i="72" s="1"/>
  <c r="R21" i="6"/>
  <c r="R8" i="1" s="1"/>
  <c r="R26" i="6"/>
  <c r="D16" i="6"/>
  <c r="R23" i="6"/>
  <c r="R10" i="1" s="1"/>
  <c r="D27" i="6"/>
  <c r="R20" i="6"/>
  <c r="R7" i="1" s="1"/>
  <c r="R25" i="6"/>
  <c r="R12" i="1" s="1"/>
  <c r="R22" i="6"/>
  <c r="R9" i="1" s="1"/>
  <c r="C24" i="11"/>
  <c r="C20" i="11"/>
  <c r="D20" i="12"/>
  <c r="C20" i="12" s="1"/>
  <c r="D10" i="69"/>
  <c r="D6" i="6"/>
  <c r="D10" i="11"/>
  <c r="C10" i="11" s="1"/>
  <c r="C19" i="67"/>
  <c r="C20" i="67" s="1"/>
  <c r="C26" i="67" s="1"/>
  <c r="T16" i="1"/>
  <c r="C18" i="15"/>
  <c r="C15" i="15"/>
  <c r="C38" i="68"/>
  <c r="C35" i="68"/>
  <c r="C36" i="11"/>
  <c r="C37" i="11"/>
  <c r="C34" i="11"/>
  <c r="C23" i="12"/>
  <c r="C14" i="12"/>
  <c r="C16" i="12" s="1"/>
  <c r="H19" i="6"/>
  <c r="L19" i="9" s="1"/>
  <c r="S19" i="6"/>
  <c r="S27" i="6" s="1"/>
  <c r="I27" i="6"/>
  <c r="E2" i="76"/>
  <c r="B2" i="76"/>
  <c r="I69" i="39"/>
  <c r="J67" i="39"/>
  <c r="I63" i="40"/>
  <c r="H65" i="40"/>
  <c r="I58" i="21"/>
  <c r="J58" i="21" s="1"/>
  <c r="K58" i="21" s="1"/>
  <c r="L58" i="21" s="1"/>
  <c r="M58" i="21" s="1"/>
  <c r="N58" i="21" s="1"/>
  <c r="O58" i="21" s="1"/>
  <c r="H7" i="21" s="1"/>
  <c r="J48" i="35"/>
  <c r="F35" i="92"/>
  <c r="D10" i="68"/>
  <c r="M21" i="92"/>
  <c r="C17" i="71" l="1"/>
  <c r="D18" i="71"/>
  <c r="C42" i="91"/>
  <c r="C41" i="91" s="1"/>
  <c r="C33" i="89"/>
  <c r="C39" i="89" s="1"/>
  <c r="C43" i="89" s="1"/>
  <c r="C26" i="92"/>
  <c r="C29" i="92" s="1"/>
  <c r="C36" i="92" s="1"/>
  <c r="C46" i="91"/>
  <c r="C45" i="91" s="1"/>
  <c r="J20" i="92"/>
  <c r="J17" i="92" s="1"/>
  <c r="C34" i="92"/>
  <c r="C31" i="92" s="1"/>
  <c r="F63" i="92"/>
  <c r="C62" i="92" s="1"/>
  <c r="C59" i="92" s="1"/>
  <c r="C19" i="87"/>
  <c r="C20" i="87" s="1"/>
  <c r="C26" i="87" s="1"/>
  <c r="D31" i="6"/>
  <c r="C10" i="68"/>
  <c r="C8" i="68" s="1"/>
  <c r="B29" i="1" s="1"/>
  <c r="C18" i="12" s="1"/>
  <c r="C21" i="12" s="1"/>
  <c r="C22" i="12" s="1"/>
  <c r="D19" i="68"/>
  <c r="C28" i="11"/>
  <c r="C27" i="11" s="1"/>
  <c r="C25" i="11"/>
  <c r="C22" i="11" s="1"/>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16" i="71" l="1"/>
  <c r="D17" i="71"/>
  <c r="C42" i="89"/>
  <c r="C41" i="89" s="1"/>
  <c r="C57" i="92"/>
  <c r="C64" i="92" s="1"/>
  <c r="J59" i="92"/>
  <c r="J60" i="92" s="1"/>
  <c r="Q48" i="92" s="1"/>
  <c r="C13" i="92"/>
  <c r="Q70" i="92" s="1"/>
  <c r="J14" i="92"/>
  <c r="J22" i="92" s="1"/>
  <c r="Q49" i="92"/>
  <c r="C46" i="89"/>
  <c r="C45" i="89" s="1"/>
  <c r="C49" i="91"/>
  <c r="C51" i="91" s="1"/>
  <c r="C23" i="87"/>
  <c r="C29" i="87" s="1"/>
  <c r="C13" i="87" s="1"/>
  <c r="I6" i="6"/>
  <c r="I5" i="6"/>
  <c r="C31" i="11"/>
  <c r="C30" i="12"/>
  <c r="C28" i="12" s="1"/>
  <c r="C27" i="12"/>
  <c r="C25" i="12" s="1"/>
  <c r="D37" i="69"/>
  <c r="C37" i="69" s="1"/>
  <c r="C33" i="69" s="1"/>
  <c r="C19" i="69"/>
  <c r="C19" i="68"/>
  <c r="C24" i="68" s="1"/>
  <c r="D37" i="68"/>
  <c r="C37" i="68" s="1"/>
  <c r="C33" i="68" s="1"/>
  <c r="C39" i="68" s="1"/>
  <c r="C43" i="68" s="1"/>
  <c r="W7" i="21"/>
  <c r="AA7" i="21"/>
  <c r="R48" i="21" s="1"/>
  <c r="E48" i="21" s="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15"/>
  <c r="M21" i="87"/>
  <c r="F35" i="87"/>
  <c r="F35" i="67"/>
  <c r="F35" i="15"/>
  <c r="M21" i="67"/>
  <c r="D16" i="71" l="1"/>
  <c r="U16" i="71" s="1"/>
  <c r="C15" i="71"/>
  <c r="T16" i="71"/>
  <c r="J13" i="92"/>
  <c r="J23" i="92" s="1"/>
  <c r="J16" i="92" s="1"/>
  <c r="J25" i="92" s="1"/>
  <c r="C37" i="92"/>
  <c r="C30" i="92" s="1"/>
  <c r="C39" i="92" s="1"/>
  <c r="C40" i="92" s="1"/>
  <c r="H44" i="92" s="1"/>
  <c r="C75" i="92"/>
  <c r="C56" i="92"/>
  <c r="C65" i="92" s="1"/>
  <c r="C58" i="92" s="1"/>
  <c r="C67" i="92" s="1"/>
  <c r="C68" i="92" s="1"/>
  <c r="C71" i="92" s="1"/>
  <c r="L46" i="92"/>
  <c r="C49" i="89"/>
  <c r="C51" i="89" s="1"/>
  <c r="C36" i="87"/>
  <c r="C57" i="87"/>
  <c r="C64" i="87" s="1"/>
  <c r="J59" i="87"/>
  <c r="J60" i="87" s="1"/>
  <c r="L46" i="87" s="1"/>
  <c r="Q49" i="87"/>
  <c r="J14" i="87"/>
  <c r="J13" i="87" s="1"/>
  <c r="J23" i="87" s="1"/>
  <c r="C75" i="87"/>
  <c r="Q70" i="87"/>
  <c r="C37" i="87"/>
  <c r="C56" i="87"/>
  <c r="C65" i="87" s="1"/>
  <c r="J20" i="87"/>
  <c r="J17" i="87" s="1"/>
  <c r="C34" i="87"/>
  <c r="C31" i="87" s="1"/>
  <c r="F63" i="87"/>
  <c r="C62" i="87" s="1"/>
  <c r="C59" i="87" s="1"/>
  <c r="C32" i="12"/>
  <c r="B2" i="12" s="1"/>
  <c r="B3" i="12" s="1"/>
  <c r="C46" i="68"/>
  <c r="C45" i="68" s="1"/>
  <c r="C42" i="68"/>
  <c r="C41" i="68" s="1"/>
  <c r="C24" i="69"/>
  <c r="C20" i="69"/>
  <c r="C39" i="69"/>
  <c r="C42" i="69"/>
  <c r="W7" i="35"/>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D15" i="71" l="1"/>
  <c r="C14" i="71"/>
  <c r="Q69" i="92"/>
  <c r="Q68" i="92" s="1"/>
  <c r="C80" i="92"/>
  <c r="C79" i="92" s="1"/>
  <c r="C46" i="92"/>
  <c r="B2" i="92"/>
  <c r="B3" i="92" s="1"/>
  <c r="Q47" i="92"/>
  <c r="Q53" i="92" s="1"/>
  <c r="C83" i="92"/>
  <c r="C82" i="92" s="1"/>
  <c r="C43" i="92"/>
  <c r="Q56" i="92"/>
  <c r="Q62" i="92" s="1"/>
  <c r="Q65" i="92"/>
  <c r="Q75" i="92" s="1"/>
  <c r="Q48" i="87"/>
  <c r="J22" i="87"/>
  <c r="J16" i="87" s="1"/>
  <c r="J25" i="87" s="1"/>
  <c r="C30" i="87"/>
  <c r="C39" i="87" s="1"/>
  <c r="C80" i="87" s="1"/>
  <c r="C79" i="87" s="1"/>
  <c r="C58" i="87"/>
  <c r="C67" i="87" s="1"/>
  <c r="C68" i="87" s="1"/>
  <c r="C71" i="87" s="1"/>
  <c r="C49" i="68"/>
  <c r="C51" i="68" s="1"/>
  <c r="C43" i="69"/>
  <c r="C41" i="69" s="1"/>
  <c r="C46" i="69"/>
  <c r="C45" i="69" s="1"/>
  <c r="C28" i="69"/>
  <c r="C27" i="69" s="1"/>
  <c r="C25" i="69"/>
  <c r="C22" i="69" s="1"/>
  <c r="C49"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92"/>
  <c r="C13" i="71" l="1"/>
  <c r="D14" i="71"/>
  <c r="Q67" i="92"/>
  <c r="Q69" i="87"/>
  <c r="Q68" i="87" s="1"/>
  <c r="C40" i="87"/>
  <c r="Q56" i="87" s="1"/>
  <c r="Q62" i="87" s="1"/>
  <c r="L57" i="87"/>
  <c r="C49" i="69"/>
  <c r="C51" i="69" s="1"/>
  <c r="C31" i="69"/>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87"/>
  <c r="L51" i="67"/>
  <c r="D13" i="71" l="1"/>
  <c r="C12" i="71"/>
  <c r="Q67" i="87"/>
  <c r="C83" i="87"/>
  <c r="C82" i="87" s="1"/>
  <c r="C43" i="87"/>
  <c r="B2" i="87"/>
  <c r="Q65" i="87"/>
  <c r="Q75" i="87" s="1"/>
  <c r="Q47" i="87"/>
  <c r="Q53" i="87" s="1"/>
  <c r="C46" i="87"/>
  <c r="C52" i="69"/>
  <c r="B2" i="69" s="1"/>
  <c r="B3" i="69" s="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C20" i="9"/>
  <c r="D2" i="35"/>
  <c r="D2" i="34"/>
  <c r="D2" i="37"/>
  <c r="C19" i="90"/>
  <c r="D12" i="71" l="1"/>
  <c r="U12" i="71" s="1"/>
  <c r="C11" i="71"/>
  <c r="T12" i="71"/>
  <c r="C102" i="90"/>
  <c r="C21" i="90"/>
  <c r="B3" i="87"/>
  <c r="C57" i="69"/>
  <c r="C56" i="69" s="1"/>
  <c r="C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8" i="1"/>
  <c r="AO9" i="1"/>
  <c r="AO7" i="1"/>
  <c r="AO12" i="1"/>
  <c r="AO6" i="1"/>
  <c r="AO11" i="1"/>
  <c r="C20" i="90"/>
  <c r="AO10" i="1"/>
  <c r="C10" i="71" l="1"/>
  <c r="D11" i="71"/>
  <c r="C103" i="9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0" i="71" l="1"/>
  <c r="C9" i="71"/>
  <c r="C7" i="91"/>
  <c r="C5" i="91" s="1"/>
  <c r="C6" i="89"/>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7" i="89"/>
  <c r="C5" i="89" s="1"/>
  <c r="C20" i="91"/>
  <c r="C23" i="91"/>
  <c r="F65" i="39"/>
  <c r="C42" i="40"/>
  <c r="C43" i="40"/>
  <c r="E47" i="40"/>
  <c r="F47" i="40" s="1"/>
  <c r="E46" i="40"/>
  <c r="F46" i="40" s="1"/>
  <c r="I47" i="40"/>
  <c r="J47" i="40" s="1"/>
  <c r="D8" i="71" l="1"/>
  <c r="C7" i="71"/>
  <c r="B2" i="39"/>
  <c r="B3" i="39" s="1"/>
  <c r="C6" i="68"/>
  <c r="C7" i="68" s="1"/>
  <c r="C5" i="68" s="1"/>
  <c r="C28" i="91"/>
  <c r="C27" i="91" s="1"/>
  <c r="C25" i="91"/>
  <c r="C22" i="91" s="1"/>
  <c r="C20" i="89"/>
  <c r="C25" i="89" s="1"/>
  <c r="C23" i="8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23" i="68"/>
  <c r="C20" i="68"/>
  <c r="C25" i="68" s="1"/>
  <c r="C22" i="89"/>
  <c r="C28" i="89"/>
  <c r="C27" i="89" s="1"/>
  <c r="C52" i="91"/>
  <c r="C57" i="91" s="1"/>
  <c r="C56" i="91" s="1"/>
  <c r="B6" i="74"/>
  <c r="C19" i="88"/>
  <c r="D6" i="71" l="1"/>
  <c r="C5" i="71"/>
  <c r="D5" i="71" s="1"/>
  <c r="M24" i="43" s="1"/>
  <c r="C22" i="68"/>
  <c r="C28" i="68"/>
  <c r="C27" i="68" s="1"/>
  <c r="C31" i="89"/>
  <c r="C52" i="89" s="1"/>
  <c r="B2" i="89" s="1"/>
  <c r="B2" i="91"/>
  <c r="C21" i="88"/>
  <c r="C102" i="88"/>
  <c r="B3" i="91"/>
  <c r="D19" i="90"/>
  <c r="C20" i="88"/>
  <c r="D19" i="88"/>
  <c r="B3" i="89"/>
  <c r="C31" i="68" l="1"/>
  <c r="C52" i="68" s="1"/>
  <c r="C57" i="68" s="1"/>
  <c r="C56" i="68" s="1"/>
  <c r="C57" i="89"/>
  <c r="C56" i="89" s="1"/>
  <c r="D21" i="90"/>
  <c r="D102" i="90"/>
  <c r="D22" i="90"/>
  <c r="G19" i="90"/>
  <c r="D102" i="88"/>
  <c r="D22" i="88"/>
  <c r="G19" i="88"/>
  <c r="D21" i="88"/>
  <c r="C103" i="88"/>
  <c r="D20" i="90"/>
  <c r="D20" i="88"/>
  <c r="B2" i="68" l="1"/>
  <c r="D103" i="88"/>
  <c r="G20" i="88"/>
  <c r="G20" i="90"/>
  <c r="D103" i="90"/>
  <c r="C32" i="88"/>
  <c r="H118" i="88" s="1"/>
  <c r="G21" i="88"/>
  <c r="C32" i="90"/>
  <c r="G21" i="90"/>
  <c r="B3" i="68"/>
  <c r="D19" i="9"/>
  <c r="D35" i="9"/>
  <c r="D34" i="88"/>
  <c r="D34" i="9"/>
  <c r="D22" i="9" l="1"/>
  <c r="D21" i="9"/>
  <c r="G19" i="9"/>
  <c r="C32" i="9" s="1"/>
  <c r="D102" i="9"/>
  <c r="C35" i="90"/>
  <c r="F118" i="90" s="1"/>
  <c r="H118" i="90"/>
  <c r="I118" i="88"/>
  <c r="C104" i="88"/>
  <c r="H119" i="88"/>
  <c r="H101" i="88"/>
  <c r="D15" i="74" s="1"/>
  <c r="D20" i="9"/>
  <c r="D35" i="88"/>
  <c r="D103" i="9" l="1"/>
  <c r="G20" i="9"/>
  <c r="C35" i="88"/>
  <c r="F118" i="88" s="1"/>
  <c r="F119" i="88" s="1"/>
  <c r="G21" i="9"/>
  <c r="C35" i="9"/>
  <c r="F118" i="9" s="1"/>
  <c r="H118" i="9"/>
  <c r="C34" i="90"/>
  <c r="D118" i="90" s="1"/>
  <c r="D119" i="90" s="1"/>
  <c r="C104" i="90"/>
  <c r="I118" i="90"/>
  <c r="H119" i="90"/>
  <c r="H101" i="90"/>
  <c r="F119" i="90"/>
  <c r="G118" i="90"/>
  <c r="D45" i="88"/>
  <c r="M48" i="88"/>
  <c r="H107" i="88"/>
  <c r="C105" i="88"/>
  <c r="H102" i="88"/>
  <c r="C34" i="88" l="1"/>
  <c r="D118" i="88" s="1"/>
  <c r="D119" i="88" s="1"/>
  <c r="G118" i="88"/>
  <c r="E118" i="88" s="1"/>
  <c r="H4" i="52"/>
  <c r="H101" i="9"/>
  <c r="D14" i="74" s="1"/>
  <c r="H119" i="9"/>
  <c r="H5" i="52" s="1"/>
  <c r="C104" i="9"/>
  <c r="I118" i="9"/>
  <c r="G118" i="9"/>
  <c r="G4" i="52" s="1"/>
  <c r="B52" i="72" s="1"/>
  <c r="F4" i="52"/>
  <c r="B51" i="72" s="1"/>
  <c r="F119" i="9"/>
  <c r="F5" i="52" s="1"/>
  <c r="B53" i="72" s="1"/>
  <c r="C34" i="9"/>
  <c r="D118" i="9" s="1"/>
  <c r="H102" i="90"/>
  <c r="E118" i="90"/>
  <c r="C105" i="90"/>
  <c r="H107" i="90"/>
  <c r="M48" i="90"/>
  <c r="D45" i="90"/>
  <c r="H108" i="88"/>
  <c r="D122" i="88"/>
  <c r="D123" i="88" s="1"/>
  <c r="C78" i="88"/>
  <c r="C73" i="88" s="1"/>
  <c r="C93" i="88"/>
  <c r="C86" i="88" s="1"/>
  <c r="C85" i="88"/>
  <c r="D55" i="88"/>
  <c r="M53" i="88" s="1"/>
  <c r="C72" i="88"/>
  <c r="C64" i="88"/>
  <c r="C63" i="88" s="1"/>
  <c r="C67" i="88" s="1"/>
  <c r="D53" i="88"/>
  <c r="D52" i="88"/>
  <c r="E14" i="74" l="1"/>
  <c r="F14" i="74"/>
  <c r="J118" i="9"/>
  <c r="D4" i="52"/>
  <c r="B47" i="72" s="1"/>
  <c r="D119" i="9"/>
  <c r="D5" i="52" s="1"/>
  <c r="B49" i="72" s="1"/>
  <c r="H102" i="9"/>
  <c r="D7" i="53" s="1"/>
  <c r="B21" i="72" s="1"/>
  <c r="E118" i="9"/>
  <c r="E4" i="52" s="1"/>
  <c r="B48" i="72" s="1"/>
  <c r="C105" i="9"/>
  <c r="I4" i="52"/>
  <c r="M48" i="9"/>
  <c r="D45" i="9"/>
  <c r="H107" i="9"/>
  <c r="D5" i="53"/>
  <c r="D122" i="90"/>
  <c r="D123" i="90" s="1"/>
  <c r="H108" i="90"/>
  <c r="C64" i="90"/>
  <c r="C63" i="90" s="1"/>
  <c r="C67" i="90" s="1"/>
  <c r="C93" i="90"/>
  <c r="C86" i="90" s="1"/>
  <c r="C85" i="90"/>
  <c r="C78" i="90"/>
  <c r="C73" i="90" s="1"/>
  <c r="C72" i="90"/>
  <c r="D52" i="90"/>
  <c r="D53" i="90"/>
  <c r="D55" i="90"/>
  <c r="M53" i="90" s="1"/>
  <c r="C79" i="88"/>
  <c r="C80" i="88" s="1"/>
  <c r="E80" i="88" s="1"/>
  <c r="E81" i="88" s="1"/>
  <c r="D59" i="88"/>
  <c r="M55" i="88" s="1"/>
  <c r="C68" i="88"/>
  <c r="D54" i="88" s="1"/>
  <c r="C95" i="88"/>
  <c r="B20" i="72" l="1"/>
  <c r="D6" i="53"/>
  <c r="B22" i="72" s="1"/>
  <c r="D122" i="9"/>
  <c r="D13" i="53"/>
  <c r="H108" i="9"/>
  <c r="D52" i="9"/>
  <c r="C64" i="9"/>
  <c r="C63" i="9" s="1"/>
  <c r="C67" i="9" s="1"/>
  <c r="C72" i="9"/>
  <c r="D53" i="9"/>
  <c r="C93" i="9"/>
  <c r="C86" i="9" s="1"/>
  <c r="D55" i="9"/>
  <c r="M53" i="9" s="1"/>
  <c r="C85" i="9"/>
  <c r="C78" i="9"/>
  <c r="C73" i="9" s="1"/>
  <c r="C95" i="90"/>
  <c r="C96" i="90" s="1"/>
  <c r="E96" i="90" s="1"/>
  <c r="E97" i="90" s="1"/>
  <c r="C79" i="90"/>
  <c r="C68" i="90"/>
  <c r="D54" i="90" s="1"/>
  <c r="D59" i="90"/>
  <c r="M55" i="90" s="1"/>
  <c r="C81" i="88"/>
  <c r="C96" i="88"/>
  <c r="E96" i="88" s="1"/>
  <c r="E97" i="88" s="1"/>
  <c r="C95" i="9" l="1"/>
  <c r="C96" i="9" s="1"/>
  <c r="E96" i="9" s="1"/>
  <c r="E97" i="9" s="1"/>
  <c r="C79" i="9"/>
  <c r="B30" i="72"/>
  <c r="D14" i="53"/>
  <c r="B32" i="72" s="1"/>
  <c r="C68" i="9"/>
  <c r="D54" i="9" s="1"/>
  <c r="D59" i="9"/>
  <c r="M55" i="9" s="1"/>
  <c r="D123" i="9"/>
  <c r="D9" i="52" s="1"/>
  <c r="D8" i="52"/>
  <c r="D15" i="53"/>
  <c r="B31" i="72" s="1"/>
  <c r="C6" i="74"/>
  <c r="C97" i="90"/>
  <c r="D58" i="90" s="1"/>
  <c r="D56" i="90" s="1"/>
  <c r="M54" i="90" s="1"/>
  <c r="N57" i="90" s="1"/>
  <c r="P57" i="90" s="1"/>
  <c r="C80" i="90"/>
  <c r="E80" i="90" s="1"/>
  <c r="E81" i="90" s="1"/>
  <c r="C97" i="88"/>
  <c r="D58" i="88" s="1"/>
  <c r="D56" i="88" s="1"/>
  <c r="M54" i="88" s="1"/>
  <c r="N57" i="88" s="1"/>
  <c r="N58" i="88" s="1"/>
  <c r="E15" i="74"/>
  <c r="C97" i="9" l="1"/>
  <c r="D58" i="9" s="1"/>
  <c r="D56" i="9" s="1"/>
  <c r="M54" i="9" s="1"/>
  <c r="N57" i="9" s="1"/>
  <c r="C80" i="9"/>
  <c r="E80" i="9" s="1"/>
  <c r="E81" i="9" s="1"/>
  <c r="N59" i="90"/>
  <c r="N61" i="90" s="1"/>
  <c r="N58" i="90"/>
  <c r="C81" i="90"/>
  <c r="N59" i="88"/>
  <c r="N60" i="88" s="1"/>
  <c r="P57" i="88"/>
  <c r="F15" i="74"/>
  <c r="B1" i="74"/>
  <c r="C81" i="9" l="1"/>
  <c r="N58" i="9"/>
  <c r="N59" i="9"/>
  <c r="P57" i="9"/>
  <c r="N60" i="90"/>
  <c r="N61" i="88"/>
  <c r="B2" i="74"/>
  <c r="D16" i="74" l="1"/>
  <c r="N60" i="9"/>
  <c r="N61" i="9"/>
  <c r="D8" i="74"/>
  <c r="D7" i="74"/>
  <c r="D6" i="74"/>
  <c r="L18" i="74" l="1"/>
  <c r="F18" i="74"/>
  <c r="E18" i="74"/>
  <c r="F17" i="74" l="1"/>
  <c r="E17" i="74"/>
  <c r="L14" i="74" l="1"/>
  <c r="E16" i="74"/>
  <c r="F16"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微软用户</author>
  </authors>
  <commentList>
    <comment ref="D9" authorId="0">
      <text>
        <r>
          <rPr>
            <b/>
            <sz val="9"/>
            <color indexed="81"/>
            <rFont val="宋体"/>
            <family val="3"/>
            <charset val="134"/>
          </rPr>
          <t>微软用户:</t>
        </r>
        <r>
          <rPr>
            <sz val="9"/>
            <color indexed="81"/>
            <rFont val="宋体"/>
            <family val="3"/>
            <charset val="134"/>
          </rPr>
          <t xml:space="preserve">
住宅土地面积：53942.17
商服土地面积：
5993</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<sst xmlns="http://schemas.openxmlformats.org/spreadsheetml/2006/main" count="18021" uniqueCount="4390">
  <si>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</si>
  <si>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</si>
  <si>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</si>
  <si>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</si>
  <si>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</si>
  <si>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</si>
  <si>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</si>
  <si>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</si>
  <si>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</si>
  <si>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</si>
  <si>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</si>
  <si>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</si>
  <si>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</si>
  <si>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</si>
  <si>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</si>
  <si>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</si>
  <si>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</si>
  <si>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</si>
  <si>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</si>
  <si>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</si>
  <si>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</si>
  <si>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</si>
  <si>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</si>
  <si>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</si>
  <si>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</si>
  <si>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</si>
  <si>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</si>
  <si>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</si>
  <si>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</si>
  <si>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</si>
  <si>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</si>
  <si>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</si>
  <si>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</si>
  <si>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</si>
  <si>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</si>
  <si>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</si>
  <si>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</si>
  <si>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</si>
  <si>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</si>
  <si>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</si>
  <si>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</si>
  <si>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</si>
  <si>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</si>
  <si>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</si>
  <si>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</si>
  <si>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</si>
  <si>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</si>
  <si>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</si>
  <si>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</si>
  <si>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</si>
  <si>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</si>
  <si>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</si>
  <si>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</si>
  <si>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</si>
  <si>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</si>
  <si>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</si>
  <si>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</si>
  <si>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</si>
  <si>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</si>
  <si>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</si>
  <si>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</si>
  <si>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</si>
  <si>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</si>
  <si>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</si>
  <si>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</si>
  <si>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</si>
  <si>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</si>
  <si>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</si>
  <si>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</si>
  <si>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</si>
  <si>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</si>
  <si>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</si>
  <si>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</si>
  <si>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</si>
  <si>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</si>
  <si>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</si>
  <si>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</si>
  <si>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</si>
  <si>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</si>
  <si>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</si>
  <si>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</si>
  <si>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</si>
  <si>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</si>
  <si>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</si>
  <si>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</si>
  <si>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</si>
  <si>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</si>
  <si>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</si>
  <si>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</si>
  <si>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</si>
  <si>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</si>
  <si>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</si>
  <si>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</si>
  <si>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</si>
  <si>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</si>
  <si>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</si>
  <si>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</si>
  <si>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</si>
  <si>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</si>
  <si>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</si>
  <si>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</si>
  <si>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</si>
  <si>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</si>
  <si>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</si>
  <si>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</si>
  <si>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</si>
  <si>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</si>
  <si>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</si>
  <si>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</si>
  <si>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</si>
  <si>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</si>
  <si>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</si>
  <si>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</si>
  <si>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</si>
  <si>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</si>
  <si>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</si>
  <si>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</si>
  <si>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</si>
  <si>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</si>
  <si>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</si>
  <si>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</si>
  <si>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</si>
  <si>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</si>
  <si>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</si>
  <si>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</si>
  <si>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</si>
  <si>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</si>
  <si>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</si>
  <si>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</si>
  <si>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</si>
  <si>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</si>
  <si>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</si>
  <si>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</si>
  <si>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</si>
  <si>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</si>
  <si>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</si>
  <si>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</si>
  <si>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</si>
  <si>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</si>
  <si>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</si>
  <si>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</si>
  <si>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</si>
  <si>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</si>
  <si>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</si>
  <si>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</si>
  <si>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</si>
  <si>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</si>
  <si>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</si>
  <si>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</si>
  <si>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</si>
  <si>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</si>
  <si>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</si>
  <si>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</si>
  <si>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</si>
  <si>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</si>
  <si>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</si>
  <si>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</si>
  <si>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</si>
  <si>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</si>
  <si>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</si>
  <si>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</si>
  <si>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</si>
  <si>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</si>
  <si>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</si>
  <si>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</si>
  <si>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</si>
  <si>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</si>
  <si>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</si>
  <si>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</si>
  <si>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</si>
  <si>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</si>
  <si>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</si>
  <si>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</si>
  <si>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</si>
  <si>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</si>
  <si>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</si>
  <si>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</si>
  <si>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</si>
  <si>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</si>
  <si>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</si>
  <si>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</si>
  <si>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</si>
  <si>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</si>
  <si>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</si>
  <si>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</si>
  <si>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</si>
  <si>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</si>
  <si>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</si>
  <si>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</si>
  <si>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</si>
  <si>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</si>
  <si>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</si>
  <si>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</si>
  <si>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</si>
  <si>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</si>
  <si>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</si>
  <si>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</si>
  <si>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</si>
  <si>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</si>
  <si>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</si>
  <si>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</si>
  <si>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</si>
  <si>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</si>
  <si>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</si>
  <si>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</si>
  <si>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</si>
  <si>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</si>
  <si>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</si>
  <si>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</si>
  <si>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</si>
  <si>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</si>
  <si>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</si>
  <si>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</si>
  <si>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</si>
  <si>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</si>
  <si>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</si>
  <si>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</si>
  <si>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</si>
  <si>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</si>
  <si>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</si>
  <si>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</si>
  <si>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</si>
  <si>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</si>
  <si>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</si>
  <si>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</si>
  <si>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</si>
  <si>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</si>
  <si>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</si>
  <si>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</si>
  <si>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</si>
  <si>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</si>
  <si>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</si>
  <si>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</si>
  <si>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</si>
  <si>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</si>
  <si>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</si>
  <si>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</si>
  <si>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</si>
  <si>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</si>
  <si>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</si>
  <si>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</si>
  <si>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</si>
  <si>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</si>
  <si>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</si>
  <si>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</si>
  <si>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</si>
  <si>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</si>
  <si>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</si>
  <si>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</si>
  <si>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</si>
  <si>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</si>
  <si>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</si>
  <si>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</si>
  <si>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</si>
  <si>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</si>
  <si>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</si>
  <si>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</si>
  <si>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</si>
  <si>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</si>
  <si>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</si>
  <si>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</si>
  <si>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</si>
  <si>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</si>
  <si>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</si>
  <si>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</si>
  <si>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</si>
  <si>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</si>
  <si>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</si>
  <si>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</si>
  <si>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</si>
  <si>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</si>
  <si>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</si>
  <si>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</si>
  <si>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</si>
  <si>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</si>
  <si>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</si>
  <si>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</si>
  <si>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</si>
  <si>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</si>
  <si>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</si>
  <si>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</si>
  <si>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</si>
  <si>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</si>
  <si>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</si>
  <si>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</si>
  <si>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</si>
  <si>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</si>
  <si>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</si>
  <si>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</si>
  <si>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</si>
  <si>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</si>
  <si>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</si>
  <si>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</si>
  <si>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</si>
  <si>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</si>
  <si>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</si>
  <si>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</si>
  <si>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</si>
  <si>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</si>
  <si>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</si>
  <si>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</si>
  <si>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</si>
  <si>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</si>
  <si>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</si>
  <si>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</si>
  <si>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</si>
  <si>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</si>
  <si>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</si>
  <si>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</si>
  <si>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</si>
  <si>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</si>
  <si>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</si>
  <si>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</si>
  <si>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</si>
  <si>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</si>
  <si>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</si>
  <si>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</si>
  <si>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</si>
  <si>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</si>
  <si>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</si>
  <si>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</si>
  <si>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</si>
  <si>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</si>
  <si>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</si>
  <si>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</si>
  <si>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</si>
  <si>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</si>
  <si>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</si>
  <si>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</si>
  <si>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</si>
  <si>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</si>
  <si>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</si>
  <si>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</si>
  <si>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</si>
  <si>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</si>
  <si>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</si>
  <si>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</si>
  <si>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</si>
  <si>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</si>
  <si>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</si>
  <si>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</si>
  <si>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</si>
  <si>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</si>
  <si>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</si>
  <si>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</si>
  <si>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</si>
  <si>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</si>
  <si>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</si>
  <si>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</si>
  <si>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</si>
  <si>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</si>
  <si>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</si>
  <si>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</si>
  <si>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</si>
  <si>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</si>
  <si>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</si>
  <si>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</si>
  <si>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</si>
  <si>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</si>
  <si>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</si>
  <si>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</si>
  <si>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</si>
  <si>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</si>
  <si>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</si>
  <si>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</si>
  <si>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</si>
  <si>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</si>
  <si>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</si>
  <si>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</si>
  <si>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</si>
  <si>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</si>
  <si>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</si>
  <si>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</si>
  <si>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</si>
  <si>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</si>
  <si>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</si>
  <si>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</si>
  <si>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</si>
  <si>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</si>
  <si>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</si>
  <si>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</si>
  <si>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</si>
  <si>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</si>
  <si>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</si>
  <si>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</si>
  <si>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</si>
  <si>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</si>
  <si>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</si>
  <si>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</si>
  <si>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</si>
  <si>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</si>
  <si>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</si>
  <si>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</si>
  <si>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</si>
  <si>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</si>
  <si>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</si>
  <si>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</si>
  <si>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</si>
  <si>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</si>
  <si>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</si>
  <si>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</si>
  <si>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</si>
  <si>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</si>
  <si>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</si>
  <si>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</si>
  <si>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</si>
  <si>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</si>
  <si>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</si>
  <si>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</si>
  <si>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</si>
  <si>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</si>
  <si>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</si>
  <si>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</si>
  <si>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</si>
  <si>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</si>
  <si>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</si>
  <si>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</si>
  <si>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</si>
  <si>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</si>
  <si>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</si>
  <si>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</si>
  <si>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</si>
  <si>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</si>
  <si>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</si>
  <si>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</si>
  <si>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</si>
  <si>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</si>
  <si>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</si>
  <si>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</si>
  <si>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</si>
  <si>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</si>
  <si>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</si>
  <si>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</si>
  <si>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</si>
  <si>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</si>
  <si>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</si>
  <si>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</si>
  <si>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</si>
  <si>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</si>
  <si>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</si>
  <si>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</si>
  <si>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</si>
  <si>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</si>
  <si>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</si>
  <si>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</si>
  <si>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</si>
  <si>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</si>
  <si>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</si>
  <si>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</si>
  <si>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</si>
  <si>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</si>
  <si>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</si>
  <si>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</si>
  <si>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</si>
  <si>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</si>
  <si>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</si>
  <si>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</si>
  <si>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</si>
  <si>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</si>
  <si>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</si>
  <si>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</si>
  <si>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</si>
  <si>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</si>
  <si>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</si>
  <si>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</si>
  <si>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</si>
  <si>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</si>
  <si>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</si>
  <si>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</si>
  <si>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</si>
  <si>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</si>
  <si>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</si>
  <si>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</si>
  <si>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</si>
  <si>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</si>
  <si>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</si>
  <si>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</si>
  <si>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</si>
  <si>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</si>
  <si>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</si>
  <si>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</si>
  <si>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</si>
  <si>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</si>
  <si>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</si>
  <si>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</si>
  <si>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</si>
  <si>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</si>
  <si>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</si>
  <si>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</si>
  <si>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</si>
  <si>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</si>
  <si>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</si>
  <si>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</si>
  <si>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</si>
  <si>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</si>
  <si>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</si>
  <si>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</si>
  <si>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</si>
  <si>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</si>
  <si>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</si>
  <si>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</si>
  <si>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</si>
  <si>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</si>
  <si>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</si>
  <si>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</si>
  <si>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</si>
  <si>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</si>
  <si>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</si>
  <si>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</si>
  <si>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</si>
  <si>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</si>
  <si>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</si>
  <si>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</si>
  <si>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</si>
  <si>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</si>
  <si>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</si>
  <si>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</si>
  <si>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</si>
  <si>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</si>
  <si>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</si>
  <si>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</si>
  <si>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</si>
  <si>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</si>
  <si>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</si>
  <si>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</si>
  <si>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</si>
  <si>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</si>
  <si>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</si>
  <si>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</si>
  <si>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</si>
  <si>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</si>
  <si>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</si>
  <si>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</si>
  <si>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</si>
  <si>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</si>
  <si>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</si>
  <si>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</si>
  <si>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</si>
  <si>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</si>
  <si>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</si>
  <si>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</si>
  <si>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</si>
  <si>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</si>
  <si>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</si>
  <si>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</si>
  <si>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</si>
  <si>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</si>
  <si>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</si>
  <si>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</si>
  <si>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</si>
  <si>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</si>
  <si>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</si>
  <si>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</si>
  <si>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</si>
  <si>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</si>
  <si>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</si>
  <si>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</si>
  <si>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</si>
  <si>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</si>
  <si>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</si>
  <si>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</si>
  <si>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</si>
  <si>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</si>
  <si>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</si>
  <si>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</si>
  <si>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</si>
  <si>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</si>
  <si>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</si>
  <si>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</si>
  <si>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</si>
  <si>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</si>
  <si>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</si>
  <si>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</si>
  <si>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</si>
  <si>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</si>
  <si>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</si>
  <si>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</si>
  <si>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</si>
  <si>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</si>
  <si>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</si>
  <si>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</si>
  <si>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</si>
  <si>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</si>
  <si>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</si>
  <si>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</si>
  <si>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</si>
  <si>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</si>
  <si>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</si>
  <si>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</si>
  <si>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</si>
  <si>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</si>
  <si>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</si>
  <si>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</si>
  <si>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</si>
  <si>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</si>
  <si>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</si>
  <si>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</si>
  <si>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</si>
  <si>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</si>
  <si>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</si>
  <si>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</si>
  <si>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</si>
  <si>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</si>
  <si>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</si>
  <si>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</si>
  <si>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</si>
  <si>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</si>
  <si>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</si>
  <si>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</si>
  <si>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</si>
  <si>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</si>
  <si>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</si>
  <si>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</si>
  <si>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</si>
  <si>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</si>
  <si>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</si>
  <si>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</si>
  <si>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</si>
  <si>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</si>
  <si>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</si>
  <si>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</si>
  <si>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</si>
  <si>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</si>
  <si>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</si>
  <si>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</si>
  <si>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</si>
  <si>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</si>
  <si>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</si>
  <si>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</si>
  <si>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</si>
  <si>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</si>
  <si>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</si>
  <si>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</si>
  <si>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</si>
  <si>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</si>
  <si>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</si>
  <si>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</si>
  <si>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</si>
  <si>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</si>
  <si>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</si>
  <si>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</si>
  <si>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</si>
  <si>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</si>
  <si>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</si>
  <si>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</si>
  <si>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</si>
  <si>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</si>
  <si>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</si>
  <si>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</si>
  <si>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</si>
  <si>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</si>
  <si>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</si>
  <si>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</si>
  <si>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</si>
  <si>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</si>
  <si>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</si>
  <si>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</si>
  <si>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</si>
  <si>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</si>
  <si>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</si>
  <si>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</si>
  <si>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</si>
  <si>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</si>
  <si>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</si>
  <si>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</si>
  <si>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</si>
  <si>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</si>
  <si>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</si>
  <si>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</si>
  <si>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</si>
  <si>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</si>
  <si>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</si>
  <si>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</si>
  <si>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</si>
  <si>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</si>
  <si>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</si>
  <si>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</si>
  <si>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</si>
  <si>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</si>
  <si>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</si>
  <si>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</si>
  <si>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</si>
  <si>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</si>
  <si>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</si>
  <si>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</si>
  <si>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</si>
  <si>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</si>
  <si>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</si>
  <si>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</si>
  <si>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</si>
  <si>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</si>
  <si>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</si>
  <si>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</si>
  <si>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</si>
  <si>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</si>
  <si>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</si>
  <si>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</si>
  <si>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</si>
  <si>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</si>
  <si>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</si>
  <si>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</si>
  <si>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</si>
  <si>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</si>
  <si>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</si>
  <si>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</si>
  <si>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</si>
  <si>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</si>
  <si>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</si>
  <si>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</si>
  <si>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</si>
  <si>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</si>
  <si>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</si>
  <si>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</si>
  <si>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</si>
  <si>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</si>
  <si>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</si>
  <si>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</si>
  <si>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</si>
  <si>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</si>
  <si>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</si>
  <si>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</si>
  <si>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</si>
  <si>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</si>
  <si>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</si>
  <si>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</si>
  <si>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</si>
  <si>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</si>
  <si>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</si>
  <si>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</si>
  <si>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</si>
  <si>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</si>
  <si>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</si>
  <si>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</si>
  <si>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</si>
  <si>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</si>
  <si>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</si>
  <si>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</si>
  <si>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</si>
  <si>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</si>
  <si>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</si>
  <si>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</si>
  <si>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</si>
  <si>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</si>
  <si>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</si>
  <si>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</si>
  <si>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</si>
  <si>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</si>
  <si>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</si>
  <si>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</si>
  <si>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</si>
  <si>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</si>
  <si>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</si>
  <si>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</si>
  <si>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</si>
  <si>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</si>
  <si>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</si>
  <si>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</si>
  <si>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</si>
  <si>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</si>
  <si>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</si>
  <si>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</si>
  <si>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</si>
  <si>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</si>
  <si>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</si>
  <si>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</si>
  <si>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</si>
  <si>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</si>
  <si>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</si>
  <si>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</si>
  <si>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</si>
  <si>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</si>
  <si>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</si>
  <si>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</si>
  <si>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</si>
  <si>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</si>
  <si>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</si>
  <si>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</si>
  <si>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</si>
  <si>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</si>
  <si>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</si>
  <si>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</si>
  <si>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</si>
  <si>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</si>
  <si>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</si>
  <si>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</si>
  <si>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</si>
  <si>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</si>
  <si>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</si>
  <si>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</si>
  <si>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</si>
  <si>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</si>
  <si>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</si>
  <si>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</si>
  <si>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</si>
  <si>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</si>
  <si>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</si>
  <si>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</si>
  <si>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</si>
  <si>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</si>
  <si>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</si>
  <si>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</si>
  <si>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</si>
  <si>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</si>
  <si>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</si>
  <si>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</si>
  <si>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</si>
  <si>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</si>
  <si>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</si>
  <si>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</si>
  <si>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</si>
  <si>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</si>
  <si>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</si>
  <si>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</si>
  <si>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</si>
  <si>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</si>
  <si>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</si>
  <si>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</si>
  <si>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</si>
  <si>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</si>
  <si>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</si>
  <si>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</si>
  <si>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</si>
  <si>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</si>
  <si>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</si>
  <si>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</si>
  <si>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</si>
  <si>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</si>
  <si>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</si>
  <si>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</si>
  <si>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</si>
  <si>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</si>
  <si>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</si>
  <si>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</si>
  <si>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</si>
  <si>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</si>
  <si>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</si>
  <si>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</si>
  <si>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</si>
  <si>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</si>
  <si>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</si>
  <si>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</si>
  <si>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</si>
  <si>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</si>
  <si>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</si>
  <si>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</si>
  <si>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</si>
  <si>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</si>
  <si>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</si>
  <si>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</si>
  <si>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</si>
  <si>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</si>
  <si>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</si>
  <si>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</si>
  <si>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</si>
  <si>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</si>
  <si>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</si>
  <si>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</si>
  <si>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</si>
  <si>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</si>
  <si>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</si>
  <si>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</si>
  <si>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</si>
  <si>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</si>
  <si>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</si>
  <si>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</si>
  <si>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</si>
  <si>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</si>
  <si>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</si>
  <si>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</si>
  <si>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</si>
  <si>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</si>
  <si>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</si>
  <si>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</si>
  <si>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</si>
  <si>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</si>
  <si>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</si>
  <si>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</si>
  <si>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</si>
  <si>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</si>
  <si>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</si>
  <si>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</si>
  <si>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</si>
  <si>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</si>
  <si>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</si>
  <si>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</si>
  <si>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</si>
  <si>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</si>
  <si>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</si>
  <si>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</si>
  <si>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</si>
  <si>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</si>
  <si>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</si>
  <si>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</si>
  <si>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</si>
  <si>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</si>
  <si>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</si>
  <si>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</si>
  <si>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</si>
  <si>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</si>
  <si>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</si>
  <si>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</si>
  <si>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</si>
  <si>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</si>
  <si>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</si>
  <si>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</si>
  <si>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</si>
  <si>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</si>
  <si>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</si>
  <si>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</si>
  <si>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</si>
  <si>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</si>
  <si>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</si>
  <si>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</si>
  <si>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</si>
  <si>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</si>
  <si>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</si>
  <si>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</si>
  <si>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</si>
  <si>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</si>
  <si>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</si>
  <si>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</si>
  <si>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</si>
  <si>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</si>
  <si>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</si>
  <si>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</si>
  <si>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</si>
  <si>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</si>
  <si>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</si>
  <si>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</si>
  <si>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</si>
  <si>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</si>
  <si>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</si>
  <si>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</si>
  <si>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</si>
  <si>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</si>
  <si>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</si>
  <si>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</si>
  <si>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</si>
  <si>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</si>
  <si>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</si>
  <si>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</si>
  <si>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</si>
  <si>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</si>
  <si>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</si>
  <si>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</si>
  <si>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</si>
  <si>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</si>
  <si>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</si>
  <si>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</si>
  <si>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</si>
  <si>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</si>
  <si>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</si>
  <si>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</si>
  <si>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</si>
  <si>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</si>
  <si>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</si>
  <si>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</si>
  <si>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</si>
  <si>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</si>
  <si>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</si>
  <si>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</si>
  <si>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</si>
  <si>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</si>
  <si>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</si>
  <si>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</si>
  <si>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</si>
  <si>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</si>
  <si>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</si>
  <si>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</si>
  <si>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</si>
  <si>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</si>
  <si>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</si>
  <si>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</si>
  <si>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</si>
  <si>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</si>
  <si>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</si>
  <si>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</si>
  <si>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</si>
  <si>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</si>
  <si>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</si>
  <si>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</si>
  <si>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</si>
  <si>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</si>
  <si>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</si>
  <si>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</si>
  <si>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</si>
  <si>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</si>
  <si>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</si>
  <si>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</si>
  <si>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</si>
  <si>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</si>
  <si>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</si>
  <si>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</si>
  <si>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</si>
  <si>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</si>
  <si>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</si>
  <si>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</si>
  <si>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</si>
  <si>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</si>
  <si>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</si>
  <si>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</si>
  <si>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</si>
  <si>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</si>
  <si>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</si>
  <si>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</si>
  <si>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</si>
  <si>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</si>
  <si>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</si>
  <si>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</si>
  <si>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</si>
  <si>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</si>
  <si>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</si>
  <si>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</si>
  <si>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</si>
  <si>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</si>
  <si>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</si>
  <si>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</si>
  <si>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</si>
  <si>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</si>
  <si>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</si>
  <si>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</si>
  <si>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</si>
  <si>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</si>
  <si>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</si>
  <si>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</si>
  <si>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</si>
  <si>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</si>
  <si>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</si>
  <si>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</si>
  <si>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</si>
  <si>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</si>
  <si>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</si>
  <si>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</si>
  <si>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</si>
  <si>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</si>
  <si>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</si>
  <si>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</si>
  <si>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</si>
  <si>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</si>
  <si>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</si>
  <si>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</si>
  <si>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</si>
  <si>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</si>
  <si>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</si>
  <si>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</si>
  <si>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</si>
  <si>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</si>
  <si>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</si>
  <si>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</si>
  <si>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</si>
  <si>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</si>
  <si>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</si>
  <si>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</si>
  <si>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</si>
  <si>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</si>
  <si>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</si>
  <si>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</si>
  <si>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</si>
  <si>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</si>
  <si>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</si>
  <si>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</si>
  <si>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</si>
  <si>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</si>
  <si>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</si>
  <si>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</si>
  <si>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</si>
  <si>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</si>
  <si>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</si>
  <si>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</si>
  <si>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</si>
  <si>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</si>
  <si>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</si>
  <si>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</si>
  <si>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</si>
  <si>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</si>
  <si>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</si>
  <si>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</si>
  <si>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</si>
  <si>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</si>
  <si>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</si>
  <si>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</si>
  <si>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</si>
  <si>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</si>
  <si>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</si>
  <si>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</si>
  <si>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</si>
  <si>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</si>
  <si>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</si>
  <si>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</si>
  <si>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</si>
  <si>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</si>
  <si>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</si>
  <si>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</si>
  <si>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</si>
  <si>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</si>
  <si>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</si>
  <si>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</si>
  <si>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</si>
  <si>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</si>
  <si>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</si>
  <si>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</si>
  <si>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</si>
  <si>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</si>
  <si>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</si>
  <si>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</si>
  <si>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</si>
  <si>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</si>
  <si>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</si>
  <si>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</si>
  <si>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</si>
  <si>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</si>
  <si>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</si>
  <si>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</si>
  <si>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</si>
  <si>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</si>
  <si>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</si>
  <si>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</si>
  <si>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</si>
  <si>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</si>
  <si>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</si>
  <si>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</si>
  <si>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</si>
  <si>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</si>
  <si>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</si>
  <si>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</si>
  <si>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</si>
  <si>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</si>
  <si>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</si>
  <si>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</si>
  <si>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</si>
  <si>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</si>
  <si>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</si>
  <si>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</si>
  <si>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</si>
  <si>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</si>
  <si>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</si>
  <si>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</si>
  <si>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</si>
  <si>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</si>
  <si>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</si>
  <si>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</si>
  <si>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</si>
  <si>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</si>
  <si>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</si>
  <si>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</si>
  <si>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</si>
  <si>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</si>
  <si>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</si>
  <si>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</si>
  <si>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</si>
  <si>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</si>
  <si>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</si>
  <si>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</si>
  <si>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</si>
  <si>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</si>
  <si>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</si>
  <si>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</si>
  <si>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</si>
  <si>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</si>
  <si>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</si>
  <si>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</si>
  <si>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</si>
  <si>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</si>
  <si>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</si>
  <si>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</si>
  <si>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</si>
  <si>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</si>
  <si>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</si>
  <si>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</si>
  <si>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</si>
  <si>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</si>
  <si>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</si>
  <si>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</si>
  <si>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</si>
  <si>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</si>
  <si>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</si>
  <si>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</si>
  <si>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</si>
  <si>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</si>
  <si>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</si>
  <si>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</si>
  <si>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</si>
  <si>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</si>
  <si>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</si>
  <si>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</si>
  <si>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</si>
  <si>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</si>
  <si>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</si>
  <si>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</si>
  <si>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</si>
  <si>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</si>
  <si>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</si>
  <si>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</si>
  <si>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</si>
  <si>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</si>
  <si>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</si>
  <si>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</si>
  <si>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</si>
  <si>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</si>
  <si>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</si>
  <si>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</si>
  <si>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</si>
  <si>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</si>
  <si>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</si>
  <si>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</si>
  <si>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</si>
  <si>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</si>
  <si>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</si>
  <si>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</si>
  <si>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</si>
  <si>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</si>
  <si>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</si>
  <si>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</si>
  <si>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</si>
  <si>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</si>
  <si>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</si>
  <si>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</si>
  <si>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</si>
  <si>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</si>
  <si>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</si>
  <si>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</si>
  <si>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</si>
  <si>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</si>
  <si>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</si>
  <si>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</si>
  <si>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</si>
  <si>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</si>
  <si>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</si>
  <si>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</si>
  <si>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</si>
  <si>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</si>
  <si>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</si>
  <si>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</si>
  <si>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</si>
  <si>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</si>
  <si>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</si>
  <si>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</si>
  <si>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</si>
  <si>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</si>
  <si>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</si>
  <si>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</si>
  <si>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</si>
  <si>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</si>
  <si>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</si>
  <si>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</si>
  <si>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</si>
  <si>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</si>
  <si>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</si>
  <si>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</si>
  <si>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</si>
  <si>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</si>
  <si>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</si>
  <si>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</si>
  <si>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</si>
  <si>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</si>
  <si>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</si>
  <si>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</si>
  <si>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</si>
  <si>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</si>
  <si>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</si>
  <si>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</si>
  <si>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</si>
  <si>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</si>
  <si>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</si>
  <si>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</si>
  <si>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</si>
  <si>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</si>
  <si>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</si>
  <si>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</si>
  <si>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</si>
  <si>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</si>
  <si>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</si>
  <si>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</si>
  <si>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</si>
  <si>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</si>
  <si>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</si>
  <si>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</si>
  <si>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</si>
  <si>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</si>
  <si>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</si>
  <si>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</si>
  <si>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</si>
  <si>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</si>
  <si>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</si>
  <si>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</si>
  <si>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</si>
  <si>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</si>
  <si>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</si>
  <si>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</si>
  <si>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</si>
  <si>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</si>
  <si>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</si>
  <si>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</si>
  <si>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</si>
  <si>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</si>
  <si>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</si>
  <si>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</si>
  <si>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</si>
  <si>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</si>
  <si>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</si>
  <si>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</si>
  <si>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</si>
  <si>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</si>
  <si>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</si>
  <si>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</si>
  <si>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</si>
  <si>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</si>
  <si>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</si>
  <si>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</si>
  <si>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</si>
  <si>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</si>
  <si>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</si>
  <si>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</si>
  <si>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</si>
  <si>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</si>
  <si>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</si>
  <si>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</si>
  <si>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</si>
  <si>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</si>
  <si>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</si>
  <si>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</si>
  <si>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</si>
  <si>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</si>
  <si>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</si>
  <si>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</si>
  <si>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</si>
  <si>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</si>
  <si>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</si>
  <si>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</si>
  <si>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</si>
  <si>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</si>
  <si>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</si>
  <si>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</si>
  <si>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</si>
  <si>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</si>
  <si>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</si>
  <si>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</si>
  <si>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</si>
  <si>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</si>
  <si>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</si>
  <si>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</si>
  <si>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</si>
  <si>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</si>
  <si>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</si>
  <si>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</si>
  <si>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</si>
  <si>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</si>
  <si>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</si>
  <si>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</si>
  <si>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</si>
  <si>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</si>
  <si>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</si>
  <si>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</si>
  <si>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</si>
  <si>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</si>
  <si>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</si>
  <si>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</si>
  <si>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</si>
  <si>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</si>
  <si>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</si>
  <si>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</si>
  <si>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</si>
  <si>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</si>
  <si>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</si>
  <si>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</si>
  <si>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</si>
  <si>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</si>
  <si>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</si>
  <si>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</si>
  <si>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</si>
  <si>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</si>
  <si>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</si>
  <si>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</si>
  <si>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</si>
  <si>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</si>
  <si>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</si>
  <si>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</si>
  <si>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</si>
  <si>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</si>
  <si>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</si>
  <si>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</si>
  <si>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</si>
  <si>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</si>
  <si>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</si>
  <si>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</si>
  <si>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</si>
  <si>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</si>
  <si>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</si>
  <si>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</si>
  <si>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</si>
  <si>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</si>
  <si>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</si>
  <si>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</si>
  <si>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</si>
  <si>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</si>
  <si>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</si>
  <si>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</si>
  <si>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</si>
  <si>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</si>
  <si>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</si>
  <si>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</si>
  <si>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</si>
  <si>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</si>
  <si>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</si>
  <si>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</si>
  <si>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</si>
  <si>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</si>
  <si>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</si>
  <si>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</si>
  <si>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</si>
  <si>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</si>
  <si>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</si>
  <si>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</si>
  <si>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</si>
  <si>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</si>
  <si>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</si>
  <si>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</si>
  <si>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</si>
  <si>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</si>
  <si>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</si>
  <si>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</si>
  <si>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</si>
  <si>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</si>
  <si>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</si>
  <si>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</si>
  <si>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</si>
  <si>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</si>
  <si>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</si>
  <si>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</si>
  <si>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</si>
  <si>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</si>
  <si>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</si>
  <si>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</si>
  <si>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</si>
  <si>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</si>
  <si>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</si>
  <si>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</si>
  <si>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</si>
  <si>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</si>
  <si>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</si>
  <si>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</si>
  <si>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</si>
  <si>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</si>
  <si>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</si>
  <si>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</si>
  <si>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</si>
  <si>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</si>
  <si>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</si>
  <si>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</si>
  <si>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</si>
  <si>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</si>
  <si>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</si>
  <si>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</si>
  <si>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</si>
  <si>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</si>
  <si>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</si>
  <si>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</si>
  <si>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</si>
  <si>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</si>
  <si>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</si>
  <si>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</si>
  <si>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</si>
  <si>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</si>
  <si>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</si>
  <si>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</si>
  <si>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</si>
  <si>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</si>
  <si>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</si>
  <si>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</si>
  <si>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</si>
  <si>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</si>
  <si>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</si>
  <si>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</si>
  <si>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</si>
  <si>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</si>
  <si>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</si>
  <si>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</si>
  <si>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</si>
  <si>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</si>
  <si>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</si>
  <si>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</si>
  <si>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</si>
  <si>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</si>
  <si>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</si>
  <si>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</si>
  <si>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</si>
  <si>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</si>
  <si>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</si>
  <si>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</si>
  <si>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</si>
  <si>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</si>
  <si>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</si>
  <si>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</si>
  <si>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</si>
  <si>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</si>
  <si>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</si>
  <si>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</si>
  <si>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</si>
  <si>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</si>
  <si>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</si>
  <si>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</si>
  <si>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</si>
  <si>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</si>
  <si>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</si>
  <si>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</si>
  <si>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</si>
  <si>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</si>
  <si>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</si>
  <si>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</si>
  <si>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</si>
  <si>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</si>
  <si>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</si>
  <si>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</si>
  <si>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</si>
  <si>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</si>
  <si>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</si>
  <si>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</si>
  <si>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</si>
  <si>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</si>
  <si>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</si>
  <si>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</si>
  <si>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</si>
  <si>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</si>
  <si>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</si>
  <si>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</si>
  <si>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</si>
  <si>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</si>
  <si>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</si>
  <si>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</si>
  <si>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</si>
  <si>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</si>
  <si>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</si>
  <si>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</si>
  <si>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</si>
  <si>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</si>
  <si>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</si>
  <si>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</si>
  <si>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</si>
  <si>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</si>
  <si>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</si>
  <si>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</si>
  <si>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</si>
  <si>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</si>
  <si>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</si>
  <si>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</si>
  <si>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</si>
  <si>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</si>
  <si>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</si>
  <si>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</si>
  <si>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</si>
  <si>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</si>
  <si>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</si>
  <si>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</si>
  <si>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</si>
  <si>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</si>
  <si>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</si>
  <si>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</si>
  <si>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</si>
  <si>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</si>
  <si>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</si>
  <si>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</si>
  <si>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</si>
  <si>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</si>
  <si>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</si>
  <si>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</si>
  <si>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</si>
  <si>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</si>
  <si>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</si>
  <si>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</si>
  <si>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</si>
  <si>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</si>
  <si>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</si>
  <si>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</si>
  <si>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</si>
  <si>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</si>
  <si>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</si>
  <si>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</si>
  <si>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</si>
  <si>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</si>
  <si>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</si>
  <si>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</si>
  <si>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</si>
  <si>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</si>
  <si>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</si>
  <si>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</si>
  <si>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</si>
  <si>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</si>
  <si>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</si>
  <si>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</si>
  <si>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</si>
  <si>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</si>
  <si>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</si>
  <si>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</si>
  <si>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</si>
  <si>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</si>
  <si>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</si>
  <si>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</si>
  <si>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</si>
  <si>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</si>
  <si>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</si>
  <si>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</si>
  <si>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</si>
  <si>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</si>
  <si>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</si>
  <si>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</si>
  <si>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</si>
  <si>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</si>
  <si>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</si>
  <si>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</si>
  <si>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</si>
  <si>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</si>
  <si>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</si>
  <si>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</si>
  <si>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</si>
  <si>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</si>
  <si>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</si>
  <si>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</si>
  <si>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</si>
  <si>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</si>
  <si>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</si>
  <si>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</si>
  <si>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</si>
  <si>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</si>
  <si>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</si>
  <si>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</si>
  <si>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</si>
  <si>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</si>
  <si>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</si>
  <si>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</si>
  <si>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</si>
  <si>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</si>
  <si>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</si>
  <si>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</si>
  <si>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</si>
  <si>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</si>
  <si>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</si>
  <si>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</si>
  <si>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</si>
  <si>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</si>
  <si>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</si>
  <si>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</si>
  <si>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</si>
  <si>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</si>
  <si>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</si>
  <si>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</si>
  <si>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</si>
  <si>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</si>
  <si>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</si>
  <si>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</si>
  <si>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</si>
  <si>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</si>
  <si>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</si>
  <si>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</si>
  <si>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</si>
  <si>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</si>
  <si>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</si>
  <si>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</si>
  <si>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</si>
  <si>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</si>
  <si>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</si>
  <si>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</si>
  <si>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</si>
  <si>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</si>
  <si>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</si>
  <si>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</si>
  <si>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</si>
  <si>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</si>
  <si>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</si>
  <si>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</si>
  <si>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</si>
  <si>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</si>
  <si>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</si>
  <si>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</si>
  <si>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</si>
  <si>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</si>
  <si>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</si>
  <si>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</si>
  <si>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</si>
  <si>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</si>
  <si>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</si>
  <si>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</si>
  <si>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</si>
  <si>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</si>
  <si>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</si>
  <si>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</si>
  <si>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</si>
  <si>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</si>
  <si>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</si>
  <si>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</si>
  <si>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</si>
  <si>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</si>
  <si>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</si>
  <si>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</si>
  <si>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</si>
  <si>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</si>
  <si>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</si>
  <si>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</si>
  <si>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</si>
  <si>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</si>
  <si>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</si>
  <si>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</si>
  <si>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</si>
  <si>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</si>
  <si>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</si>
  <si>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</si>
  <si>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</si>
  <si>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</si>
  <si>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</si>
  <si>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</si>
  <si>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</si>
  <si>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</si>
  <si>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</si>
  <si>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</si>
  <si>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</si>
  <si>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</si>
  <si>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</si>
  <si>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</si>
  <si>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</si>
  <si>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</si>
  <si>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</si>
  <si>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</si>
  <si>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</si>
  <si>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</si>
  <si>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</si>
  <si>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</si>
  <si>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</si>
  <si>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</si>
  <si>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</si>
  <si>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</si>
  <si>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</si>
  <si>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</si>
  <si>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</si>
  <si>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</si>
  <si>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</si>
  <si>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</si>
  <si>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</si>
  <si>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</si>
  <si>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</si>
  <si>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</si>
  <si>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</si>
  <si>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</si>
  <si>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</si>
  <si>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</si>
  <si>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</si>
  <si>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</si>
  <si>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</si>
  <si>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</si>
  <si>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</si>
  <si>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</si>
  <si>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</si>
  <si>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</si>
  <si>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</si>
  <si>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</si>
  <si>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</si>
  <si>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</si>
  <si>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</si>
  <si>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</si>
  <si>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</si>
  <si>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</si>
  <si>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</si>
  <si>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</si>
  <si>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</si>
  <si>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</si>
  <si>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</si>
  <si>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</si>
  <si>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</si>
  <si>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</si>
  <si>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</si>
  <si>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</si>
  <si>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</si>
  <si>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</si>
  <si>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</si>
  <si>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</si>
  <si>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</si>
  <si>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</si>
  <si>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</si>
  <si>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</si>
  <si>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</si>
  <si>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</si>
  <si>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</si>
  <si>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</si>
  <si>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</si>
  <si>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</si>
  <si>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</si>
  <si>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</si>
  <si>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</si>
  <si>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</si>
  <si>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</si>
  <si>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</si>
  <si>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</si>
  <si>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</si>
  <si>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</si>
  <si>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</si>
  <si>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</si>
  <si>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</si>
  <si>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</si>
  <si>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</si>
  <si>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</si>
  <si>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</si>
  <si>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</si>
  <si>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</si>
  <si>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</si>
  <si>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</si>
  <si>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</si>
  <si>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</si>
  <si>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</si>
  <si>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</si>
  <si>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</si>
  <si>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</si>
  <si>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</si>
  <si>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</si>
  <si>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</si>
  <si>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</si>
  <si>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</si>
  <si>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</si>
  <si>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</si>
  <si>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</si>
  <si>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</si>
  <si>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</si>
  <si>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</si>
  <si>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</si>
  <si>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</si>
  <si>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</si>
  <si>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</si>
  <si>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</si>
  <si>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</si>
  <si>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</si>
  <si>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</si>
  <si>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</si>
  <si>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</si>
  <si>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</si>
  <si>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</si>
  <si>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</si>
  <si>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</si>
  <si>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</si>
  <si>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</si>
  <si>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</si>
  <si>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</si>
  <si>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</si>
  <si>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</si>
  <si>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</si>
  <si>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</si>
  <si>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</si>
  <si>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</si>
  <si>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</si>
  <si>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</si>
  <si>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</si>
  <si>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</si>
  <si>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</si>
  <si>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</si>
  <si>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</si>
  <si>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</si>
  <si>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</si>
  <si>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</si>
  <si>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</si>
  <si>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</si>
  <si>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</si>
  <si>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</si>
  <si>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</si>
  <si>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</si>
  <si>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</si>
  <si>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</si>
  <si>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</si>
  <si>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</si>
  <si>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</si>
  <si>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</si>
  <si>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</si>
  <si>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</si>
  <si>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</si>
  <si>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</si>
  <si>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</si>
  <si>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</si>
  <si>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</si>
  <si>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</si>
  <si>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</si>
  <si>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</si>
  <si>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</si>
  <si>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</si>
  <si>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</si>
  <si>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</si>
  <si>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</si>
  <si>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</si>
  <si>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</si>
  <si>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</si>
  <si>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</si>
  <si>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</si>
  <si>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</si>
  <si>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</si>
  <si>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</si>
  <si>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</si>
  <si>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</si>
  <si>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</si>
  <si>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</si>
  <si>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</si>
  <si>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</si>
  <si>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</si>
  <si>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</si>
  <si>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</si>
  <si>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</si>
  <si>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</si>
  <si>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</si>
  <si>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</si>
  <si>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</si>
  <si>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</si>
  <si>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</si>
  <si>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</si>
  <si>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</si>
  <si>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</si>
  <si>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</si>
  <si>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</si>
  <si>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</si>
  <si>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</si>
  <si>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</si>
  <si>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</si>
  <si>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</si>
  <si>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</si>
  <si>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</si>
  <si>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</si>
  <si>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</si>
  <si>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</si>
  <si>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</si>
  <si>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</si>
  <si>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</si>
  <si>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</si>
  <si>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</si>
  <si>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</si>
  <si>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</si>
  <si>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</si>
  <si>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</si>
  <si>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</si>
  <si>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</si>
  <si>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</si>
  <si>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</si>
  <si>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</si>
  <si>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</si>
  <si>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</si>
  <si>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</si>
  <si>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</si>
  <si>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</si>
  <si>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</si>
  <si>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</si>
  <si>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</si>
  <si>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</si>
  <si>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</si>
  <si>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</si>
  <si>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</si>
  <si>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</si>
  <si>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</si>
  <si>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</si>
  <si>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</si>
  <si>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</si>
  <si>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</si>
  <si>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</si>
  <si>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</si>
  <si>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</si>
  <si>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</si>
  <si>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</si>
  <si>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</si>
  <si>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</si>
  <si>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</si>
  <si>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</si>
  <si>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</si>
  <si>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</si>
  <si>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</si>
  <si>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</si>
  <si>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</si>
  <si>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</si>
  <si>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</si>
  <si>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</si>
  <si>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</si>
  <si>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</si>
  <si>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</si>
  <si>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</si>
  <si>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</si>
  <si>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</si>
  <si>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</si>
  <si>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</si>
  <si>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</si>
  <si>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</si>
  <si>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</si>
  <si>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</si>
  <si>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</si>
  <si>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</si>
  <si>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</si>
  <si>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</si>
  <si>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</si>
  <si>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</si>
  <si>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</si>
  <si>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</si>
  <si>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</si>
  <si>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</si>
  <si>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</si>
  <si>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</si>
  <si>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</si>
  <si>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</si>
  <si>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</si>
  <si>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</si>
  <si>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</si>
  <si>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</si>
  <si>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</si>
  <si>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</si>
  <si>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</si>
  <si>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</si>
  <si>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</si>
  <si>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</si>
  <si>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</si>
  <si>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</si>
  <si>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</si>
  <si>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</si>
  <si>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</si>
  <si>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</si>
  <si>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</si>
  <si>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</si>
  <si>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</si>
  <si>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</si>
  <si>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</si>
  <si>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</si>
  <si>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</si>
  <si>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</si>
  <si>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</si>
  <si>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</si>
  <si>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</si>
  <si>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</si>
  <si>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</si>
  <si>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</si>
  <si>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</si>
  <si>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</si>
  <si>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</si>
  <si>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</si>
  <si>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</si>
  <si>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</si>
  <si>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</si>
  <si>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</si>
  <si>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</si>
  <si>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</si>
  <si>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</si>
  <si>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</si>
  <si>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</si>
  <si>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</si>
  <si>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</si>
  <si>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</si>
  <si>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</si>
  <si>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</si>
  <si>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</si>
  <si>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</si>
  <si>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</si>
  <si>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</si>
  <si>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</si>
  <si>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</si>
  <si>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</si>
  <si>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</si>
  <si>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</si>
  <si>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</si>
  <si>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</si>
  <si>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</si>
  <si>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</si>
  <si>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</si>
  <si>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</si>
  <si>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</si>
  <si>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</si>
  <si>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</si>
  <si>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</si>
  <si>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</si>
  <si>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</si>
  <si>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</si>
  <si>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</si>
  <si>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</si>
  <si>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</si>
  <si>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</si>
  <si>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</si>
  <si>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</si>
  <si>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</si>
  <si>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</si>
  <si>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</si>
  <si>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</si>
  <si>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</si>
  <si>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</si>
  <si>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</si>
  <si>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</si>
  <si>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</si>
  <si>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</si>
  <si>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</si>
  <si>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</si>
  <si>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</si>
  <si>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</si>
  <si>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</si>
  <si>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</si>
  <si>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</si>
  <si>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</si>
  <si>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</si>
  <si>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</si>
  <si>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</si>
  <si>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</si>
  <si>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</si>
  <si>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</si>
  <si>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</si>
  <si>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</si>
  <si>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</si>
  <si>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</si>
  <si>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</si>
  <si>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</si>
  <si>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</si>
  <si>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</si>
  <si>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</si>
  <si>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</si>
  <si>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</si>
  <si>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</si>
  <si>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</si>
  <si>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</si>
  <si>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</si>
  <si>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</si>
  <si>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</si>
  <si>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</si>
  <si>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</si>
  <si>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</si>
  <si>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</si>
  <si>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</si>
  <si>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</si>
  <si>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</si>
  <si>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</si>
  <si>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</si>
  <si>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</si>
  <si>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</si>
  <si>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</si>
  <si>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</si>
  <si>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</si>
  <si>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</si>
  <si>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</si>
  <si>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</si>
  <si>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</si>
  <si>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</si>
  <si>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</si>
  <si>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</si>
  <si>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</si>
  <si>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</si>
  <si>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</si>
  <si>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</si>
  <si>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</si>
  <si>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</si>
  <si>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</si>
  <si>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</si>
  <si>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</si>
  <si>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</si>
  <si>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</si>
  <si>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</si>
  <si>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</si>
  <si>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</si>
  <si>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</si>
  <si>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</si>
  <si>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</si>
  <si>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</si>
  <si>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</si>
  <si>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</si>
  <si>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</si>
  <si>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</si>
  <si>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</si>
  <si>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</si>
  <si>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</si>
  <si>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</si>
  <si>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</si>
  <si>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</si>
  <si>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</si>
  <si>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</si>
  <si>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</si>
  <si>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</si>
  <si>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</si>
  <si>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</si>
  <si>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</si>
  <si>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</si>
  <si>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</si>
  <si>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</si>
  <si>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</si>
  <si>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</si>
  <si>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</si>
  <si>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</si>
  <si>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</si>
  <si>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</si>
  <si>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</si>
  <si>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</si>
  <si>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</si>
  <si>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</si>
  <si>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</si>
  <si>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</si>
  <si>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</si>
  <si>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</si>
  <si>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</si>
  <si>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</si>
  <si>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</si>
  <si>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</si>
  <si>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</si>
  <si>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</si>
  <si>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</si>
  <si>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</si>
  <si>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</si>
  <si>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</si>
  <si>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</si>
  <si>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</si>
  <si>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</si>
  <si>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</si>
  <si>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</si>
  <si>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</si>
  <si>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</si>
  <si>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</si>
  <si>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</si>
  <si>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</si>
  <si>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</si>
  <si>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</si>
  <si>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</si>
  <si>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</si>
  <si>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</si>
  <si>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</si>
  <si>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</si>
  <si>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</si>
  <si>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</si>
  <si>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</si>
  <si>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</si>
  <si>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</si>
  <si>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</si>
  <si>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</si>
  <si>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</si>
  <si>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</si>
  <si>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</si>
  <si>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</si>
  <si>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</si>
  <si>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</si>
  <si>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</si>
  <si>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</si>
  <si>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</si>
  <si>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</si>
  <si>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</si>
  <si>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</si>
  <si>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</si>
  <si>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</si>
  <si>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</si>
  <si>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</si>
  <si>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</si>
  <si>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</si>
  <si>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</si>
  <si>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</si>
  <si>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</si>
  <si>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</si>
  <si>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</si>
  <si>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</si>
  <si>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</si>
  <si>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</si>
  <si>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</si>
  <si>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</si>
  <si>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</si>
  <si>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</si>
  <si>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</si>
  <si>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</si>
  <si>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</si>
  <si>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</si>
  <si>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</si>
  <si>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</si>
  <si>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</si>
  <si>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</si>
  <si>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</si>
  <si>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</si>
  <si>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</si>
  <si>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</si>
  <si>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</si>
  <si>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</si>
  <si>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</si>
  <si>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</si>
  <si>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</si>
  <si>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</si>
  <si>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</si>
  <si>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</si>
  <si>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</si>
  <si>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</si>
  <si>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</si>
  <si>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</si>
  <si>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</si>
  <si>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</si>
  <si>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</si>
  <si>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</si>
  <si>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</si>
  <si>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</si>
  <si>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</si>
  <si>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</si>
  <si>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</si>
  <si>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</si>
  <si>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</si>
  <si>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</si>
  <si>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</si>
  <si>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</si>
  <si>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</si>
  <si>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</si>
  <si>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</si>
  <si>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</si>
  <si>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</si>
  <si>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</si>
  <si>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</si>
  <si>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</si>
  <si>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</si>
  <si>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</si>
  <si>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</si>
  <si>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</si>
  <si>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</si>
  <si>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</si>
  <si>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</si>
  <si>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</si>
  <si>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</si>
  <si>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</si>
  <si>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</si>
  <si>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</si>
  <si>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</si>
  <si>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</si>
  <si>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</si>
  <si>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</si>
  <si>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</si>
  <si>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</si>
  <si>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</si>
  <si>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</si>
  <si>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</si>
  <si>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</si>
  <si>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</si>
  <si>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</si>
  <si>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</si>
  <si>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</si>
  <si>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</si>
  <si>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</si>
  <si>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</si>
  <si>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</si>
  <si>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</si>
  <si>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</si>
  <si>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</si>
  <si>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</si>
  <si>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</si>
  <si>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</si>
  <si>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</si>
  <si>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</si>
  <si>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</si>
  <si>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</si>
  <si>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</si>
  <si>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</si>
  <si>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</si>
  <si>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</si>
  <si>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</si>
  <si>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</si>
  <si>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</si>
  <si>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</si>
  <si>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</si>
  <si>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</si>
  <si>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</si>
  <si>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</si>
  <si>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</si>
  <si>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</si>
  <si>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</si>
  <si>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</si>
  <si>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</si>
  <si>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</si>
  <si>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</si>
  <si>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</si>
  <si>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</si>
  <si>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</si>
  <si>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</si>
  <si>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</si>
  <si>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</si>
  <si>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</si>
  <si>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</si>
  <si>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</si>
  <si>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</si>
  <si>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</si>
  <si>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</si>
  <si>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</si>
  <si>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</si>
  <si>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</si>
  <si>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</si>
  <si>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</si>
  <si>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</si>
  <si>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</si>
  <si>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</si>
  <si>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</si>
  <si>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</si>
  <si>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</si>
  <si>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</si>
  <si>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</si>
  <si>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</si>
  <si>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</si>
  <si>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</si>
  <si>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</si>
  <si>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</si>
  <si>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</si>
  <si>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</si>
  <si>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</si>
  <si>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</si>
  <si>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</si>
  <si>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</si>
  <si>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</si>
  <si>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</si>
  <si>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</si>
  <si>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</si>
  <si>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</si>
  <si>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</si>
  <si>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</si>
  <si>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</si>
  <si>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</si>
  <si>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</si>
  <si>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</si>
  <si>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</si>
  <si>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</si>
  <si>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</si>
  <si>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</si>
  <si>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</si>
  <si>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</si>
  <si>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</si>
  <si>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</si>
  <si>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</si>
  <si>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</si>
  <si>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</si>
  <si>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</si>
  <si>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</si>
  <si>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</si>
  <si>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</si>
  <si>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</si>
  <si>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</si>
  <si>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</si>
  <si>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</si>
  <si>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</si>
  <si>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</si>
  <si>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</si>
  <si>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</si>
  <si>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</si>
  <si>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</si>
  <si>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</si>
  <si>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</si>
  <si>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</si>
  <si>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</si>
  <si>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</si>
  <si>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</si>
  <si>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</si>
  <si>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</si>
  <si>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</si>
  <si>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</si>
  <si>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</si>
  <si>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</si>
  <si>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</si>
  <si>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</si>
  <si>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</si>
  <si>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</si>
  <si>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</si>
  <si>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</si>
  <si>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</si>
  <si>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</si>
  <si>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</si>
  <si>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</si>
  <si>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</si>
  <si>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</si>
  <si>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</si>
  <si>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</si>
  <si>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</si>
  <si>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</si>
  <si>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</si>
  <si>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</si>
  <si>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</si>
  <si>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</si>
  <si>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</si>
  <si>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</si>
  <si>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</si>
  <si>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</si>
  <si>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</si>
  <si>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</si>
  <si>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</si>
  <si>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</si>
  <si>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</si>
  <si>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</si>
  <si>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</si>
  <si>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</si>
  <si>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</si>
  <si>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</si>
  <si>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</si>
  <si>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</si>
  <si>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</si>
  <si>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</si>
  <si>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</si>
  <si>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</si>
  <si>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</si>
  <si>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</si>
  <si>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</si>
  <si>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</si>
  <si>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</si>
  <si>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</si>
  <si>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</si>
  <si>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</si>
  <si>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</si>
  <si>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</si>
  <si>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</si>
  <si>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</si>
  <si>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</si>
  <si>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</si>
  <si>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</si>
  <si>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</si>
  <si>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</si>
  <si>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</si>
  <si>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</si>
  <si>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</si>
  <si>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</si>
  <si>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</si>
  <si>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</si>
  <si>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</si>
  <si>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</si>
  <si>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</si>
  <si>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</si>
  <si>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</si>
  <si>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</si>
  <si>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</si>
  <si>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</si>
  <si>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</si>
  <si>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</si>
  <si>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</si>
  <si>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</si>
  <si>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</si>
  <si>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</si>
  <si>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</si>
  <si>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</si>
  <si>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</si>
  <si>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</si>
  <si>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</si>
  <si>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</si>
  <si>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</si>
  <si>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</si>
  <si>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</si>
  <si>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</si>
  <si>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</si>
  <si>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</si>
  <si>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</si>
  <si>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</si>
  <si>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</si>
  <si>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</si>
  <si>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</si>
  <si>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</si>
  <si>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</si>
  <si>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</si>
  <si>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</si>
  <si>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</si>
  <si>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</si>
  <si>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</si>
  <si>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</si>
  <si>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</si>
  <si>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</si>
  <si>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</si>
  <si>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</si>
  <si>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</si>
  <si>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</si>
  <si>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</si>
  <si>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</si>
  <si>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</si>
  <si>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</si>
  <si>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</si>
  <si>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</si>
  <si>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</si>
  <si>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</si>
  <si>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</si>
  <si>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</si>
  <si>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</si>
  <si>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</si>
  <si>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</si>
  <si>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</si>
  <si>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</si>
  <si>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</si>
  <si>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</si>
  <si>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</si>
  <si>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</si>
  <si>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</si>
  <si>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</si>
  <si>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</si>
  <si>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</si>
  <si>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</si>
  <si>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</si>
  <si>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</si>
  <si>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</si>
  <si>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</si>
  <si>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</si>
  <si>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</si>
  <si>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</si>
  <si>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</si>
  <si>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</si>
  <si>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</si>
  <si>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</si>
  <si>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</si>
  <si>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</si>
  <si>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</si>
  <si>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</si>
  <si>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</si>
  <si>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</si>
  <si>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</si>
  <si>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</si>
  <si>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</si>
  <si>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</si>
  <si>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</si>
  <si>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</si>
  <si>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</si>
  <si>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</si>
  <si>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</si>
  <si>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</si>
  <si>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</si>
  <si>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</si>
  <si>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</si>
  <si>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</si>
  <si>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</si>
  <si>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</si>
  <si>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</si>
  <si>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</si>
  <si>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</si>
  <si>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</si>
  <si>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</si>
  <si>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</si>
  <si>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</si>
  <si>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</si>
  <si>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</si>
  <si>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</si>
  <si>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</si>
  <si>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</si>
  <si>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</si>
  <si>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</si>
  <si>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</si>
  <si>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</si>
  <si>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</si>
  <si>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</si>
  <si>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</si>
  <si>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</si>
  <si>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</si>
  <si>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</si>
  <si>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</si>
  <si>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</si>
  <si>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</si>
  <si>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</si>
  <si>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</si>
  <si>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</si>
  <si>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</si>
  <si>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</si>
  <si>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</si>
  <si>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</si>
  <si>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</si>
  <si>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</si>
  <si>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</si>
  <si>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</si>
  <si>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</si>
  <si>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</si>
  <si>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</si>
  <si>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</si>
  <si>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</si>
  <si>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</si>
  <si>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</si>
  <si>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</si>
  <si>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</si>
  <si>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</si>
  <si>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</si>
  <si>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</si>
  <si>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</si>
  <si>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</si>
  <si>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</si>
  <si>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</si>
  <si>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</si>
  <si>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</si>
  <si>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</si>
  <si>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</si>
  <si>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</si>
  <si>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</si>
  <si>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</si>
  <si>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</si>
  <si>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</si>
  <si>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</si>
  <si>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</si>
  <si>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</si>
  <si>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</si>
  <si>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</si>
  <si>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</si>
  <si>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</si>
  <si>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</si>
  <si>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</si>
  <si>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</si>
  <si>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</si>
  <si>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</si>
  <si>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</si>
  <si>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</si>
  <si>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</si>
  <si>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</si>
  <si>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</si>
  <si>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</si>
  <si>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</si>
  <si>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</si>
  <si>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</si>
  <si>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</si>
  <si>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</si>
  <si>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</si>
  <si>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</si>
  <si>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</si>
  <si>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</si>
  <si>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</si>
  <si>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</si>
  <si>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</si>
  <si>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</si>
  <si>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</si>
  <si>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</si>
  <si>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</si>
  <si>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</si>
  <si>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</si>
  <si>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</si>
  <si>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</si>
  <si>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</si>
  <si>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</si>
  <si>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</si>
  <si>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</si>
  <si>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</si>
  <si>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</si>
  <si>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</si>
  <si>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</si>
  <si>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</si>
  <si>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</si>
  <si>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</si>
  <si>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</si>
  <si>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</si>
  <si>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</si>
  <si>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</si>
  <si>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</si>
  <si>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</si>
  <si>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</si>
  <si>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</si>
  <si>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</si>
  <si>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</si>
  <si>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</si>
  <si>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</si>
  <si>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</si>
  <si>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</si>
  <si>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</si>
  <si>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</si>
  <si>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</si>
  <si>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</si>
  <si>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</si>
  <si>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</si>
  <si>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</si>
  <si>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</si>
  <si>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</si>
  <si>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</si>
  <si>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</si>
  <si>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</si>
  <si>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</si>
  <si>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</si>
  <si>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</si>
  <si>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</si>
  <si>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</si>
  <si>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</si>
  <si>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</si>
  <si>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</si>
  <si>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</si>
  <si>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</si>
  <si>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</si>
  <si>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</si>
  <si>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</si>
  <si>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</si>
  <si>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</si>
  <si>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</si>
  <si>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</si>
  <si>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</si>
  <si>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</si>
  <si>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</si>
  <si>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</si>
  <si>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</si>
  <si>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</si>
  <si>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</si>
  <si>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</si>
  <si>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</si>
  <si>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</si>
  <si>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</si>
  <si>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</si>
  <si>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</si>
  <si>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</si>
  <si>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</si>
  <si>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</si>
  <si>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</si>
  <si>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</si>
  <si>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</si>
  <si>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</si>
  <si>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</si>
  <si>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</si>
  <si>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</si>
  <si>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</si>
  <si>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</si>
  <si>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</si>
  <si>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</si>
  <si>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</si>
  <si>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</si>
  <si>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</si>
  <si>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</si>
  <si>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</si>
  <si>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</si>
  <si>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</si>
  <si>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</si>
  <si>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</si>
  <si>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</si>
  <si>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</si>
  <si>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</si>
  <si>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</si>
  <si>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</si>
  <si>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</si>
  <si>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</si>
  <si>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</si>
  <si>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</si>
  <si>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</si>
  <si>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</si>
  <si>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</si>
  <si>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</si>
  <si>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</si>
  <si>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</si>
  <si>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</si>
  <si>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</si>
  <si>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</si>
  <si>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</si>
  <si>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</si>
  <si>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</si>
  <si>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</si>
  <si>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</si>
  <si>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</si>
  <si>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</si>
  <si>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</si>
  <si>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</si>
  <si>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</si>
  <si>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</si>
  <si>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</si>
  <si>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</si>
  <si>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</si>
  <si>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</si>
  <si>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</si>
  <si>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</si>
  <si>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</si>
  <si>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</si>
  <si>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</si>
  <si>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</si>
  <si>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</si>
  <si>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</si>
  <si>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</si>
  <si>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</si>
  <si>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</si>
  <si>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</si>
  <si>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</si>
  <si>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</si>
  <si>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</si>
  <si>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</si>
  <si>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</si>
  <si>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</si>
  <si>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</si>
  <si>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</si>
  <si>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</si>
  <si>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</si>
  <si>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</si>
  <si>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</si>
  <si>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</si>
  <si>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</si>
  <si>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</si>
  <si>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</si>
  <si>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</si>
  <si>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</si>
  <si>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</si>
  <si>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</si>
  <si>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</si>
  <si>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</si>
  <si>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</si>
  <si>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</si>
  <si>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</si>
  <si>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</si>
  <si>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</si>
  <si>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</si>
  <si>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</si>
  <si>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</si>
  <si>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</si>
  <si>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</si>
  <si>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</si>
  <si>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</si>
  <si>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</si>
  <si>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</si>
  <si>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</si>
  <si>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</si>
  <si>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</si>
  <si>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</si>
  <si>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</si>
  <si>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</si>
  <si>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</si>
  <si>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</si>
  <si>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</si>
  <si>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</si>
  <si>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</si>
  <si>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</si>
  <si>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</si>
  <si>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</si>
  <si>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</si>
  <si>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</si>
  <si>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</si>
  <si>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</si>
  <si>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</si>
  <si>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</si>
  <si>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</si>
  <si>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</si>
  <si>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</si>
  <si>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</si>
  <si>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</si>
  <si>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</si>
  <si>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</si>
  <si>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</si>
  <si>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</si>
  <si>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</si>
  <si>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</si>
  <si>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</si>
  <si>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</si>
  <si>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</si>
  <si>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</si>
  <si>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</si>
  <si>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</si>
  <si>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</si>
  <si>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</si>
  <si>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</si>
  <si>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</si>
  <si>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</si>
  <si>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</si>
  <si>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</si>
  <si>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</si>
  <si>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</si>
  <si>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</si>
  <si>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</si>
  <si>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</si>
  <si>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</si>
  <si>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</si>
  <si>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</si>
  <si>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</si>
  <si>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</si>
  <si>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</si>
  <si>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</si>
  <si>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</si>
  <si>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</si>
  <si>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</si>
  <si>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</si>
  <si>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</si>
  <si>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</si>
  <si>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</si>
  <si>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</si>
  <si>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</si>
  <si>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</si>
  <si>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</si>
  <si>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</si>
  <si>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</si>
  <si>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</si>
  <si>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</si>
  <si>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</si>
  <si>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</si>
  <si>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</si>
  <si>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</si>
  <si>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</si>
  <si>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</si>
  <si>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</si>
  <si>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</si>
  <si>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</si>
  <si>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</si>
  <si>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</si>
  <si>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</si>
  <si>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</si>
  <si>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</si>
  <si>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</si>
  <si>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</si>
  <si>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</si>
  <si>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</si>
  <si>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</si>
  <si>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</si>
  <si>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</si>
  <si>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</si>
  <si>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</si>
  <si>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</si>
  <si>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</si>
  <si>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</si>
  <si>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</si>
  <si>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</si>
  <si>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</si>
  <si>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</si>
  <si>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</si>
  <si>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</si>
  <si>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</si>
  <si>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</si>
  <si>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</si>
  <si>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</si>
  <si>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</si>
  <si>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</si>
  <si>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</si>
  <si>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</si>
  <si>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</si>
  <si>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</si>
  <si>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</si>
  <si>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</si>
  <si>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</si>
  <si>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</si>
  <si>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</si>
  <si>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</si>
  <si>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</si>
  <si>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</si>
  <si>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</si>
  <si>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</si>
  <si>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</si>
  <si>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</si>
  <si>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</si>
  <si>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</si>
  <si>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</si>
  <si>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</si>
  <si>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</si>
  <si>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</si>
  <si>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</si>
  <si>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</si>
  <si>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</si>
  <si>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</si>
  <si>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</si>
  <si>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</si>
  <si>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</si>
  <si>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</si>
  <si>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</si>
  <si>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</si>
  <si>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</si>
  <si>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</si>
  <si>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</si>
  <si>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</si>
  <si>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</si>
  <si>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</si>
  <si>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</si>
  <si>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</si>
  <si>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</si>
  <si>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</si>
  <si>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</si>
  <si>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</si>
  <si>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</si>
  <si>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</si>
  <si>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</si>
  <si>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</si>
  <si>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</si>
  <si>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</si>
  <si>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</si>
  <si>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</si>
  <si>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</si>
  <si>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</si>
  <si>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</si>
  <si>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</si>
  <si>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</si>
  <si>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</si>
  <si>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</si>
  <si>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</si>
  <si>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</si>
  <si>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</si>
  <si>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</si>
  <si>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</si>
  <si>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</si>
  <si>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</si>
  <si>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</si>
  <si>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</si>
  <si>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</si>
  <si>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</si>
  <si>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</si>
  <si>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</si>
  <si>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</si>
  <si>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</si>
  <si>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</si>
  <si>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</si>
  <si>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</si>
  <si>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</si>
  <si>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</si>
  <si>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</si>
  <si>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</si>
  <si>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</si>
  <si>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</si>
  <si>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</si>
  <si>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</si>
  <si>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</si>
  <si>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</si>
  <si>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</si>
  <si>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</si>
  <si>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</si>
  <si>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</si>
  <si>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</si>
  <si>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</si>
  <si>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</si>
  <si>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</si>
  <si>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</si>
  <si>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</si>
  <si>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</si>
  <si>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</si>
  <si>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</si>
  <si>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</si>
  <si>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</si>
  <si>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</si>
  <si>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</si>
  <si>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</si>
  <si>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</si>
  <si>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</si>
  <si>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</si>
  <si>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</si>
  <si>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</si>
  <si>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</si>
  <si>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</si>
  <si>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</si>
  <si>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</si>
  <si>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</si>
  <si>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</si>
  <si>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</si>
  <si>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</si>
  <si>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</si>
  <si>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</si>
  <si>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</si>
  <si>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</si>
  <si>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</si>
  <si>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</si>
  <si>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</si>
  <si>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</si>
  <si>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</si>
  <si>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</si>
  <si>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</si>
  <si>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</si>
  <si>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</si>
  <si>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</si>
  <si>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</si>
  <si>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</si>
  <si>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</si>
  <si>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</si>
  <si>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</si>
  <si>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</si>
  <si>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</si>
  <si>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</si>
  <si>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</si>
  <si>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</si>
  <si>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</si>
  <si>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</si>
  <si>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</si>
  <si>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</si>
  <si>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</si>
  <si>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</si>
  <si>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</si>
  <si>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</si>
  <si>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</si>
  <si>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</si>
  <si>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</si>
  <si>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</si>
  <si>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</si>
  <si>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</si>
  <si>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</si>
  <si>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</si>
  <si>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</si>
  <si>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</si>
  <si>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</si>
  <si>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</si>
  <si>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</si>
  <si>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</si>
  <si>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</si>
  <si>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</si>
  <si>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</si>
  <si>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</si>
  <si>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</si>
  <si>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</si>
  <si>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</si>
  <si>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</si>
  <si>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</si>
  <si>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</si>
  <si>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</si>
  <si>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</si>
  <si>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</si>
  <si>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</si>
  <si>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</si>
  <si>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</si>
  <si>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</si>
  <si>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</si>
  <si>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</si>
  <si>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</si>
  <si>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</si>
  <si>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</si>
  <si>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</si>
  <si>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</si>
  <si>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</si>
  <si>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</si>
  <si>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</si>
  <si>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</si>
  <si>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</si>
  <si>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</si>
  <si>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</si>
  <si>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</si>
  <si>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</si>
  <si>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</si>
  <si>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</si>
  <si>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</si>
  <si>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</si>
  <si>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</si>
  <si>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</si>
  <si>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</si>
  <si>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</si>
  <si>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</si>
  <si>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</si>
  <si>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</si>
  <si>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</si>
  <si>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</si>
  <si>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</si>
  <si>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</si>
  <si>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</si>
  <si>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</si>
  <si>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</si>
  <si>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</si>
  <si>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</si>
  <si>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</si>
  <si>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</si>
  <si>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</si>
  <si>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</si>
  <si>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</si>
  <si>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</si>
  <si>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</si>
  <si>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</si>
  <si>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</si>
  <si>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</si>
  <si>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</si>
  <si>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</si>
  <si>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</si>
  <si>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</si>
  <si>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</si>
  <si>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</si>
  <si>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</si>
  <si>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</si>
  <si>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</si>
  <si>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</si>
  <si>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</si>
  <si>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</si>
  <si>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</si>
  <si>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</si>
  <si>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</si>
  <si>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</si>
  <si>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</si>
  <si>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</si>
  <si>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</si>
  <si>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</si>
  <si>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</si>
  <si>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</si>
  <si>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</si>
  <si>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</si>
  <si>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</si>
  <si>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</si>
  <si>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</si>
  <si>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</si>
  <si>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</si>
  <si>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</si>
  <si>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</si>
  <si>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</si>
  <si>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</si>
  <si>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</si>
  <si>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</si>
  <si>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</si>
  <si>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</si>
  <si>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</si>
  <si>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</si>
  <si>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</si>
  <si>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</si>
  <si>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</si>
  <si>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</si>
  <si>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</si>
  <si>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</si>
  <si>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</si>
  <si>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</si>
  <si>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</si>
  <si>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</si>
  <si>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</si>
  <si>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</si>
  <si>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</si>
  <si>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</si>
  <si>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</si>
  <si>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</si>
  <si>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</si>
  <si>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</si>
  <si>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</si>
  <si>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</si>
  <si>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</si>
  <si>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</si>
  <si>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</si>
  <si>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</si>
  <si>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</si>
  <si>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</si>
  <si>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</si>
  <si>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</si>
  <si>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</si>
  <si>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</si>
  <si>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</si>
  <si>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</si>
  <si>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</si>
  <si>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</si>
  <si>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</si>
  <si>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</si>
  <si>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</si>
  <si>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</si>
  <si>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</si>
  <si>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</si>
  <si>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</si>
  <si>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</si>
  <si>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</si>
  <si>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</si>
  <si>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</si>
  <si>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</si>
  <si>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</si>
  <si>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</si>
  <si>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</si>
  <si>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</si>
  <si>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</si>
  <si>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</si>
  <si>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</si>
  <si>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</si>
  <si>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</si>
  <si>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</si>
  <si>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</si>
  <si>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</si>
  <si>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</si>
  <si>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</si>
  <si>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</si>
  <si>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</si>
  <si>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</si>
  <si>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</si>
  <si>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</si>
  <si>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</si>
  <si>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</si>
  <si>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</si>
  <si>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</si>
  <si>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</si>
  <si>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</si>
  <si>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</si>
  <si>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</si>
  <si>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</si>
  <si>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</si>
  <si>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</si>
  <si>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</si>
  <si>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</si>
  <si>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</si>
  <si>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</si>
  <si>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</si>
  <si>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</si>
  <si>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</si>
  <si>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</si>
  <si>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</si>
  <si>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</si>
  <si>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</si>
  <si>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</si>
  <si>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</si>
  <si>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</si>
  <si>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</si>
  <si>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</si>
  <si>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</si>
  <si>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</si>
  <si>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</si>
  <si>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</si>
  <si>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</si>
  <si>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</si>
  <si>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</si>
  <si>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</si>
  <si>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</si>
  <si>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</si>
  <si>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</si>
  <si>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</si>
  <si>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</si>
  <si>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</si>
  <si>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</si>
  <si>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</si>
  <si>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</si>
  <si>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</si>
  <si>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</si>
  <si>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</si>
  <si>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</si>
  <si>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</si>
  <si>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</si>
  <si>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</si>
  <si>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</si>
  <si>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</si>
  <si>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</si>
  <si>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</si>
  <si>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</si>
  <si>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</si>
  <si>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</si>
  <si>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</si>
  <si>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</si>
  <si>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</si>
  <si>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2023-4</t>
    <phoneticPr fontId="4" type="noConversion"/>
  </si>
  <si>
    <t>2023-3</t>
    <phoneticPr fontId="4" type="noConversion"/>
  </si>
  <si>
    <t>2023-4</t>
    <phoneticPr fontId="4" type="noConversion"/>
  </si>
  <si>
    <t>房地产市场价值</t>
  </si>
  <si>
    <t>核定资产</t>
  </si>
  <si>
    <t>其他：</t>
  </si>
  <si>
    <t>企业</t>
  </si>
  <si>
    <t>居住项目</t>
  </si>
  <si>
    <t>无</t>
  </si>
  <si>
    <t>否</t>
  </si>
  <si>
    <t>现房</t>
  </si>
  <si>
    <t>是</t>
  </si>
  <si>
    <t>地上</t>
  </si>
  <si>
    <t>住宅</t>
  </si>
  <si>
    <t>平层住宅</t>
  </si>
  <si>
    <t>住宅-小高层</t>
  </si>
  <si>
    <t>住宅-小高层</t>
    <phoneticPr fontId="8" type="noConversion"/>
  </si>
  <si>
    <t>成新度</t>
  </si>
  <si>
    <t>项目模式</t>
  </si>
  <si>
    <t>售价</t>
  </si>
  <si>
    <t>正常</t>
  </si>
  <si>
    <t>挂牌</t>
    <phoneticPr fontId="25" type="noConversion"/>
  </si>
  <si>
    <t>住宅</t>
    <phoneticPr fontId="25" type="noConversion"/>
  </si>
  <si>
    <t>钢混</t>
  </si>
  <si>
    <t>钢混</t>
    <phoneticPr fontId="25" type="noConversion"/>
  </si>
  <si>
    <t>高档</t>
    <phoneticPr fontId="25" type="noConversion"/>
  </si>
  <si>
    <t>中高档</t>
    <phoneticPr fontId="25" type="noConversion"/>
  </si>
  <si>
    <t>中档</t>
    <phoneticPr fontId="25" type="noConversion"/>
  </si>
  <si>
    <t>低档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</si>
  <si>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</si>
  <si>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</si>
  <si>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</si>
  <si>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</si>
  <si>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</si>
  <si>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平层</t>
  </si>
  <si>
    <t>平层</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</si>
  <si>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</si>
  <si>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</si>
  <si>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</si>
  <si>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</si>
  <si>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</si>
  <si>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</si>
  <si>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普通</t>
  </si>
  <si>
    <t>普通</t>
    <phoneticPr fontId="25" type="noConversion"/>
  </si>
  <si>
    <t>一般</t>
  </si>
  <si>
    <t>较差</t>
  </si>
  <si>
    <t>较好</t>
  </si>
  <si>
    <t>押一</t>
  </si>
  <si>
    <t>非生产用房</t>
  </si>
  <si>
    <t>收益法</t>
  </si>
  <si>
    <t>比较法-住宅</t>
  </si>
  <si>
    <r>
      <t>A</t>
    </r>
    <r>
      <rPr>
        <sz val="11"/>
        <color theme="1"/>
        <rFont val="宋体"/>
        <family val="3"/>
        <charset val="134"/>
        <scheme val="minor"/>
      </rPr>
      <t>1地块</t>
    </r>
    <phoneticPr fontId="135" type="noConversion"/>
  </si>
  <si>
    <t>地价款</t>
    <phoneticPr fontId="135" type="noConversion"/>
  </si>
  <si>
    <r>
      <t>A</t>
    </r>
    <r>
      <rPr>
        <sz val="11"/>
        <color theme="1"/>
        <rFont val="宋体"/>
        <family val="3"/>
        <charset val="134"/>
        <scheme val="minor"/>
      </rPr>
      <t>2地块</t>
    </r>
    <r>
      <rPr>
        <sz val="11"/>
        <color theme="1"/>
        <rFont val="宋体"/>
        <family val="2"/>
        <charset val="134"/>
        <scheme val="minor"/>
      </rPr>
      <t/>
    </r>
  </si>
  <si>
    <t>已缴纳地价款票据</t>
    <phoneticPr fontId="135" type="noConversion"/>
  </si>
  <si>
    <r>
      <t>K地块</t>
    </r>
    <r>
      <rPr>
        <sz val="11"/>
        <color theme="1"/>
        <rFont val="宋体"/>
        <family val="2"/>
        <charset val="134"/>
        <scheme val="minor"/>
      </rPr>
      <t/>
    </r>
    <phoneticPr fontId="135" type="noConversion"/>
  </si>
  <si>
    <t>契税</t>
    <phoneticPr fontId="135" type="noConversion"/>
  </si>
  <si>
    <t>印花税</t>
    <phoneticPr fontId="135" type="noConversion"/>
  </si>
  <si>
    <t>土地面积</t>
    <phoneticPr fontId="135" type="noConversion"/>
  </si>
  <si>
    <t>用途</t>
    <phoneticPr fontId="135" type="noConversion"/>
  </si>
  <si>
    <t>城镇住宅用地</t>
    <phoneticPr fontId="135" type="noConversion"/>
  </si>
  <si>
    <t>土地使用期限</t>
    <phoneticPr fontId="135" type="noConversion"/>
  </si>
  <si>
    <t>其他商服用地、城镇住宅用地</t>
    <phoneticPr fontId="135" type="noConversion"/>
  </si>
  <si>
    <r>
      <t>20</t>
    </r>
    <r>
      <rPr>
        <sz val="11"/>
        <color theme="1"/>
        <rFont val="宋体"/>
        <family val="3"/>
        <charset val="134"/>
        <scheme val="minor"/>
      </rPr>
      <t>5</t>
    </r>
    <r>
      <rPr>
        <sz val="11"/>
        <color theme="1"/>
        <rFont val="宋体"/>
        <family val="3"/>
        <charset val="134"/>
        <scheme val="minor"/>
      </rPr>
      <t>9/7/25、2089/7/25</t>
    </r>
    <phoneticPr fontId="135" type="noConversion"/>
  </si>
  <si>
    <t>其他商服用地</t>
    <phoneticPr fontId="135" type="noConversion"/>
  </si>
  <si>
    <t>房间明细表</t>
  </si>
  <si>
    <t xml:space="preserve">第1页/共1页 </t>
  </si>
  <si>
    <r>
      <t xml:space="preserve">查询日期：开始日期 2019-12-01，截止日期 2023-12-15
</t>
    </r>
    <r>
      <rPr>
        <sz val="9"/>
        <color indexed="8"/>
        <rFont val="宋体"/>
        <family val="3"/>
        <charset val="134"/>
      </rPr>
      <t>制表日期：2023-12-15 13:38:48</t>
    </r>
  </si>
  <si>
    <t>序号</t>
  </si>
  <si>
    <t>公司</t>
  </si>
  <si>
    <t>项目</t>
  </si>
  <si>
    <t>地块</t>
  </si>
  <si>
    <t>楼栋</t>
  </si>
  <si>
    <t>单元</t>
  </si>
  <si>
    <t>房间号</t>
  </si>
  <si>
    <t>房间状态</t>
  </si>
  <si>
    <t>户型</t>
  </si>
  <si>
    <t>产品类型</t>
  </si>
  <si>
    <t>面积状态</t>
  </si>
  <si>
    <t>预售建筑面积</t>
  </si>
  <si>
    <t>预售套内面积</t>
  </si>
  <si>
    <t>实测建筑面积</t>
  </si>
  <si>
    <t>实测套内面积</t>
  </si>
  <si>
    <t>底价建筑单价</t>
  </si>
  <si>
    <t>底价套内单价</t>
  </si>
  <si>
    <t>底价总价</t>
  </si>
  <si>
    <t>标准建筑单价</t>
  </si>
  <si>
    <t>标准套内单价</t>
  </si>
  <si>
    <t>标准总价</t>
  </si>
  <si>
    <t>成交建筑单价</t>
  </si>
  <si>
    <t>成交套内单价</t>
  </si>
  <si>
    <t>成交总价</t>
  </si>
  <si>
    <t>结算总价</t>
  </si>
  <si>
    <t>面积补差金额</t>
  </si>
  <si>
    <t>面积补差日期</t>
  </si>
  <si>
    <t>累计实收房款</t>
  </si>
  <si>
    <t>取证日期</t>
  </si>
  <si>
    <t>定价日期</t>
  </si>
  <si>
    <t>放盘日期</t>
  </si>
  <si>
    <t>认购日期</t>
  </si>
  <si>
    <t>草签日期</t>
  </si>
  <si>
    <t>网签时间</t>
  </si>
  <si>
    <t>备案日期</t>
  </si>
  <si>
    <t>预计交房时间</t>
  </si>
  <si>
    <t>实际交房时间</t>
  </si>
  <si>
    <t>达工程条件日期</t>
  </si>
  <si>
    <t>销售方式</t>
  </si>
  <si>
    <t>业主姓名</t>
  </si>
  <si>
    <t>置业顾问</t>
  </si>
  <si>
    <t>所属团队</t>
  </si>
  <si>
    <t>所属团队类别</t>
  </si>
  <si>
    <t>客户渠道来源一级</t>
  </si>
  <si>
    <t>客户渠道来源二级</t>
  </si>
  <si>
    <t>客户渠道来源三级</t>
  </si>
  <si>
    <t>中国金茂 - 金茂华北 - 北京公司（原）</t>
  </si>
  <si>
    <t>张家口．京北金茂悦</t>
  </si>
  <si>
    <t>张家口下花园区A2地块</t>
  </si>
  <si>
    <t>7#</t>
  </si>
  <si>
    <t>三单元</t>
  </si>
  <si>
    <t>102</t>
  </si>
  <si>
    <t>签约</t>
  </si>
  <si>
    <t>A5</t>
  </si>
  <si>
    <t>实测</t>
  </si>
  <si>
    <t>王思宁</t>
  </si>
  <si>
    <t>陈效明</t>
  </si>
  <si>
    <t>自销团队</t>
  </si>
  <si>
    <t>分销渠道</t>
  </si>
  <si>
    <t>贝壳</t>
  </si>
  <si>
    <t>101</t>
  </si>
  <si>
    <t>王英力</t>
  </si>
  <si>
    <t>陈栋</t>
  </si>
  <si>
    <t>自渠团队拓展</t>
  </si>
  <si>
    <t>自渠整合小微</t>
  </si>
  <si>
    <t>整合-自渠整合小微</t>
  </si>
  <si>
    <t>202</t>
  </si>
  <si>
    <t>待售</t>
  </si>
  <si>
    <t>201</t>
  </si>
  <si>
    <t>302</t>
  </si>
  <si>
    <t>301</t>
  </si>
  <si>
    <t>402</t>
  </si>
  <si>
    <t>401</t>
  </si>
  <si>
    <t>502</t>
  </si>
  <si>
    <t>工抵</t>
  </si>
  <si>
    <t>北京紫唐轩木业有限公司</t>
  </si>
  <si>
    <t>郭佳其</t>
  </si>
  <si>
    <t>其他</t>
  </si>
  <si>
    <t>工抵房</t>
  </si>
  <si>
    <t>501</t>
  </si>
  <si>
    <t>602</t>
  </si>
  <si>
    <t>601</t>
  </si>
  <si>
    <t>北京天润恒生经贸有限公司</t>
  </si>
  <si>
    <t>702</t>
  </si>
  <si>
    <t>周重嘉</t>
  </si>
  <si>
    <t>赵丽莉</t>
  </si>
  <si>
    <t>701</t>
  </si>
  <si>
    <t>802</t>
  </si>
  <si>
    <t>801</t>
  </si>
  <si>
    <t>杜兴文</t>
  </si>
  <si>
    <t>902</t>
  </si>
  <si>
    <t>祝瑞华</t>
  </si>
  <si>
    <t>901</t>
  </si>
  <si>
    <t>孙永霞</t>
  </si>
  <si>
    <t>1002</t>
  </si>
  <si>
    <t>1001</t>
  </si>
  <si>
    <t>二单元</t>
  </si>
  <si>
    <t>李志军</t>
  </si>
  <si>
    <t>张鑫</t>
  </si>
  <si>
    <t>王远松</t>
  </si>
  <si>
    <t>杜兴发</t>
  </si>
  <si>
    <t>中建三局第一建设工程有限责任公司</t>
  </si>
  <si>
    <t>刘宋歌</t>
  </si>
  <si>
    <t>山东富祥建筑设备租赁有限公司</t>
  </si>
  <si>
    <t>一单元</t>
  </si>
  <si>
    <t>周建童</t>
  </si>
  <si>
    <t>裴新隆</t>
  </si>
  <si>
    <t>刘柏琦</t>
  </si>
  <si>
    <t>余尚忠</t>
  </si>
  <si>
    <t>曲红燕</t>
  </si>
  <si>
    <t>赵俊瑶</t>
  </si>
  <si>
    <t>青岛创佳门窗有限公司</t>
  </si>
  <si>
    <t>韩宏博</t>
  </si>
  <si>
    <t>陶宁</t>
  </si>
  <si>
    <t>闫光强</t>
  </si>
  <si>
    <t>8#</t>
  </si>
  <si>
    <t>张际宇</t>
  </si>
  <si>
    <t>刘静</t>
  </si>
  <si>
    <t>荣鹃</t>
  </si>
  <si>
    <t>自渠自拓客</t>
  </si>
  <si>
    <t>李盼</t>
  </si>
  <si>
    <t>史荣芳</t>
  </si>
  <si>
    <t>辛昕</t>
  </si>
  <si>
    <t>朱秀华</t>
  </si>
  <si>
    <t>销售员拓展</t>
  </si>
  <si>
    <t>刘晓英</t>
  </si>
  <si>
    <t>展拓-竞品拦截</t>
  </si>
  <si>
    <t>李萌</t>
  </si>
  <si>
    <t>传统自然到访</t>
  </si>
  <si>
    <t>项目围挡等周边包装</t>
  </si>
  <si>
    <t>路过</t>
  </si>
  <si>
    <t>李炳君</t>
  </si>
  <si>
    <t>陈振亚</t>
  </si>
  <si>
    <t>孙玲芮</t>
  </si>
  <si>
    <t>王晓伟</t>
  </si>
  <si>
    <t>中原地产</t>
  </si>
  <si>
    <t>王小芳</t>
  </si>
  <si>
    <t>徐亚群</t>
  </si>
  <si>
    <t>邢军</t>
  </si>
  <si>
    <t>于欢</t>
  </si>
  <si>
    <t>安徽凹凸家具有限公司</t>
  </si>
  <si>
    <t>柯惠珊</t>
  </si>
  <si>
    <t>李婉</t>
  </si>
  <si>
    <t>郑鹏云</t>
  </si>
  <si>
    <t>唐博</t>
  </si>
  <si>
    <t>许欣</t>
  </si>
  <si>
    <t>胡志强</t>
  </si>
  <si>
    <t>陈利</t>
  </si>
  <si>
    <t>赵丽芳</t>
  </si>
  <si>
    <t>王俊峰</t>
  </si>
  <si>
    <t>蔡秀荣</t>
  </si>
  <si>
    <t>臧舜尧</t>
  </si>
  <si>
    <t>安少军</t>
  </si>
  <si>
    <t>陶自然</t>
  </si>
  <si>
    <t>员工自购</t>
  </si>
  <si>
    <t>李姝宁</t>
  </si>
  <si>
    <t>电开</t>
  </si>
  <si>
    <t>宋坚</t>
  </si>
  <si>
    <t>韩梦圆</t>
  </si>
  <si>
    <t>刘文庆</t>
  </si>
  <si>
    <t>马彬彬</t>
  </si>
  <si>
    <t>宋芳芳</t>
  </si>
  <si>
    <t>周淑萍</t>
  </si>
  <si>
    <t>侯海艳</t>
  </si>
  <si>
    <t>宋雅文</t>
  </si>
  <si>
    <t>崔望星</t>
  </si>
  <si>
    <t>何丽</t>
  </si>
  <si>
    <t>郑彩杰</t>
  </si>
  <si>
    <t>王效宇</t>
  </si>
  <si>
    <t>高伯铮</t>
  </si>
  <si>
    <t>张艳群</t>
  </si>
  <si>
    <t>卢荣姣</t>
  </si>
  <si>
    <t>张旭</t>
  </si>
  <si>
    <t>王鹃</t>
  </si>
  <si>
    <t>孟岩</t>
  </si>
  <si>
    <t>孟丽</t>
  </si>
  <si>
    <t>卢渝敏</t>
  </si>
  <si>
    <t>金雨薇</t>
  </si>
  <si>
    <t>刘扬</t>
  </si>
  <si>
    <t>马刚;臧建平</t>
  </si>
  <si>
    <t>张亮</t>
  </si>
  <si>
    <t>薛茹</t>
  </si>
  <si>
    <t>马云清</t>
  </si>
  <si>
    <t>展拓-社区巡展</t>
  </si>
  <si>
    <t>侯金花</t>
  </si>
  <si>
    <t>宋丽婷</t>
  </si>
  <si>
    <t>郭盎岩</t>
  </si>
  <si>
    <t>孙世哲</t>
  </si>
  <si>
    <t>郭栋</t>
  </si>
  <si>
    <t>9#</t>
  </si>
  <si>
    <t>四单元</t>
  </si>
  <si>
    <t>A1</t>
  </si>
  <si>
    <t>刘云</t>
  </si>
  <si>
    <t>周耀华</t>
  </si>
  <si>
    <t>张金玲</t>
  </si>
  <si>
    <t>中建二局第三建筑工程有限公司</t>
  </si>
  <si>
    <t>仝景容</t>
  </si>
  <si>
    <t>杨巍</t>
  </si>
  <si>
    <t>全民营销</t>
  </si>
  <si>
    <t>其他经纪人推荐</t>
  </si>
  <si>
    <t>姚东琴</t>
  </si>
  <si>
    <t>赵宏生</t>
  </si>
  <si>
    <t>姜磊</t>
  </si>
  <si>
    <t>魏洪博</t>
  </si>
  <si>
    <t>孙明霞</t>
  </si>
  <si>
    <t>孙旭</t>
  </si>
  <si>
    <t>张娜</t>
  </si>
  <si>
    <t>滕月</t>
  </si>
  <si>
    <t>闫晓锋</t>
  </si>
  <si>
    <t>郭兴霞</t>
  </si>
  <si>
    <t>迟惠</t>
  </si>
  <si>
    <t>徐秋菊</t>
  </si>
  <si>
    <t>北京唯诚信德装饰工程有限公司</t>
  </si>
  <si>
    <t>尚晓艳</t>
  </si>
  <si>
    <t>林凯</t>
  </si>
  <si>
    <t>中浩敬业北京贸易有限公司</t>
  </si>
  <si>
    <t>管雪鸥</t>
  </si>
  <si>
    <t>石亚</t>
  </si>
  <si>
    <t>魏丽红</t>
  </si>
  <si>
    <t>安春霞</t>
  </si>
  <si>
    <t>美安居</t>
  </si>
  <si>
    <t>于飞</t>
  </si>
  <si>
    <t>尤永兴</t>
  </si>
  <si>
    <t>冯金莉</t>
  </si>
  <si>
    <t>中铁建工集团有限公司</t>
  </si>
  <si>
    <t>霍玲</t>
  </si>
  <si>
    <t>程春玲</t>
  </si>
  <si>
    <t>李向红</t>
  </si>
  <si>
    <t>温玉萍</t>
  </si>
  <si>
    <t>展拓-商超巡展</t>
  </si>
  <si>
    <t>潘腾</t>
  </si>
  <si>
    <t>孙淼;王雪薇</t>
  </si>
  <si>
    <t>唐昕阳</t>
  </si>
  <si>
    <t>刘伟男</t>
  </si>
  <si>
    <t>黄云峰;曹杨</t>
  </si>
  <si>
    <t>展拓-发单</t>
  </si>
  <si>
    <t>卢佳迪</t>
  </si>
  <si>
    <t>张艳蕊</t>
  </si>
  <si>
    <t>万雷</t>
  </si>
  <si>
    <t>宋瑞平</t>
  </si>
  <si>
    <t>雷艺学</t>
  </si>
  <si>
    <t>王欣;杨瑕</t>
  </si>
  <si>
    <t>陆榴榴</t>
  </si>
  <si>
    <t>叶彩风</t>
  </si>
  <si>
    <t>艾熙</t>
  </si>
  <si>
    <t>白雪</t>
  </si>
  <si>
    <t>常海龙</t>
  </si>
  <si>
    <t>张建军</t>
  </si>
  <si>
    <t>郑真真</t>
  </si>
  <si>
    <t>李燕林</t>
  </si>
  <si>
    <t>王敏</t>
  </si>
  <si>
    <t>茅萍</t>
  </si>
  <si>
    <t>贾福生</t>
  </si>
  <si>
    <t>任晓敏</t>
  </si>
  <si>
    <t>刘保军</t>
  </si>
  <si>
    <t>孟楠</t>
  </si>
  <si>
    <t>陈道蕊</t>
  </si>
  <si>
    <t>10#</t>
  </si>
  <si>
    <t>罗终云</t>
  </si>
  <si>
    <t>甄旎涵</t>
  </si>
  <si>
    <t>北京洁雅德环境科技有限公司</t>
  </si>
  <si>
    <t>于学洁</t>
  </si>
  <si>
    <t>洪军彪</t>
  </si>
  <si>
    <t>北京华能昌泰保温防水工程有限公司</t>
  </si>
  <si>
    <t>北京弘洁建设集团有限公司</t>
  </si>
  <si>
    <t>华翔飞建筑装饰工程有限公司</t>
  </si>
  <si>
    <t>于洁</t>
  </si>
  <si>
    <t>王永强</t>
  </si>
  <si>
    <t>湖南坦旺机电安装有限公司</t>
  </si>
  <si>
    <t>翟华伟</t>
  </si>
  <si>
    <t>链家</t>
  </si>
  <si>
    <t>于楷进</t>
  </si>
  <si>
    <t>王守一</t>
  </si>
  <si>
    <t>北京盛德诚信商贸有限公司</t>
  </si>
  <si>
    <t>许海燕</t>
  </si>
  <si>
    <t>倪兆佳</t>
  </si>
  <si>
    <t>付鹏飞</t>
  </si>
  <si>
    <t>史元</t>
  </si>
  <si>
    <t>张云</t>
  </si>
  <si>
    <t>悉地（北京）国际建筑设计顾问有限公司</t>
  </si>
  <si>
    <t>董利昌</t>
  </si>
  <si>
    <t>孙莉;李哲</t>
  </si>
  <si>
    <t>李春淑</t>
  </si>
  <si>
    <t>赵静</t>
  </si>
  <si>
    <t>祁斌刚</t>
  </si>
  <si>
    <t>刘祥杰</t>
  </si>
  <si>
    <t>李瑞江</t>
  </si>
  <si>
    <t>臧艳佳</t>
  </si>
  <si>
    <t>销售员拓客</t>
  </si>
  <si>
    <t>朱善红</t>
  </si>
  <si>
    <t>刘雨喆</t>
  </si>
  <si>
    <t>李鹏伟</t>
  </si>
  <si>
    <t>孙欣欣</t>
  </si>
  <si>
    <t>杨勇</t>
  </si>
  <si>
    <t>钟煜刚</t>
  </si>
  <si>
    <t>王珺亮</t>
  </si>
  <si>
    <t>狄雪</t>
  </si>
  <si>
    <t>李建强</t>
  </si>
  <si>
    <t>长沙文俊机电安装有限公司</t>
  </si>
  <si>
    <t>景天下生态环境科技有限公司</t>
  </si>
  <si>
    <t>11#</t>
  </si>
  <si>
    <t>郭建平</t>
  </si>
  <si>
    <t>刘月</t>
  </si>
  <si>
    <t>安徽富江天诚家具有限公司</t>
  </si>
  <si>
    <t>德才装饰股份有限公司</t>
  </si>
  <si>
    <t>青岛抬头生态建设工程有限公司</t>
  </si>
  <si>
    <t>张权</t>
  </si>
  <si>
    <t>王军</t>
  </si>
  <si>
    <t>王淑燕</t>
  </si>
  <si>
    <t>袁来建</t>
  </si>
  <si>
    <t>北京京林园林集团有限公司</t>
  </si>
  <si>
    <t>曹邺方</t>
  </si>
  <si>
    <t>陈晓巍</t>
  </si>
  <si>
    <t>王旭</t>
  </si>
  <si>
    <t>温桂芳</t>
  </si>
  <si>
    <t>张冬丽</t>
  </si>
  <si>
    <t>饶金超</t>
  </si>
  <si>
    <t>认购</t>
  </si>
  <si>
    <t>汤维</t>
  </si>
  <si>
    <t>彭超;李阳</t>
  </si>
  <si>
    <t>浙江金大门业有限公司</t>
  </si>
  <si>
    <t>蒋泽瑞</t>
  </si>
  <si>
    <t>王岚</t>
  </si>
  <si>
    <t>吴红卫</t>
  </si>
  <si>
    <t>博洛尼家居用品湖北有限公司</t>
  </si>
  <si>
    <t>上海怀淳自动化工程有限公司</t>
  </si>
  <si>
    <t>李静</t>
  </si>
  <si>
    <t>王一淇</t>
  </si>
  <si>
    <t>冠林电子有限公司</t>
  </si>
  <si>
    <t>纪文涛</t>
  </si>
  <si>
    <t>周淑敏</t>
  </si>
  <si>
    <t>于大鹏</t>
  </si>
  <si>
    <t>张云翠</t>
  </si>
  <si>
    <t>孙婕</t>
  </si>
  <si>
    <t>12#</t>
  </si>
  <si>
    <t>A6</t>
  </si>
  <si>
    <t>吴芳</t>
  </si>
  <si>
    <t>李申</t>
  </si>
  <si>
    <t>刘轩</t>
  </si>
  <si>
    <t>王玉芳</t>
  </si>
  <si>
    <t>北京市机械施工集团有限公司</t>
  </si>
  <si>
    <t>张振兴</t>
  </si>
  <si>
    <t>王金玉</t>
  </si>
  <si>
    <t>张海生</t>
  </si>
  <si>
    <t>巩文龙</t>
  </si>
  <si>
    <t>北京金厦智家科技有限公司</t>
  </si>
  <si>
    <t>合计</t>
  </si>
  <si>
    <t>建筑面积</t>
    <phoneticPr fontId="135" type="noConversion"/>
  </si>
  <si>
    <t>建筑类型</t>
    <phoneticPr fontId="135" type="noConversion"/>
  </si>
  <si>
    <t>工规证</t>
    <phoneticPr fontId="135" type="noConversion"/>
  </si>
  <si>
    <t>容积率</t>
    <phoneticPr fontId="135" type="noConversion"/>
  </si>
  <si>
    <t>10-18层住宅，已竣工的为10层小高层，商业为90%商务办公+10%餐饮，均可销售；</t>
    <phoneticPr fontId="135" type="noConversion"/>
  </si>
  <si>
    <t>无拟建类型，未开工，售楼处在K地块上</t>
    <phoneticPr fontId="135" type="noConversion"/>
  </si>
  <si>
    <t>规划条件拟建类型10-18层住宅，未开工</t>
    <phoneticPr fontId="135" type="noConversion"/>
  </si>
  <si>
    <t>出让合同</t>
    <phoneticPr fontId="135" type="noConversion"/>
  </si>
  <si>
    <r>
      <t>A</t>
    </r>
    <r>
      <rPr>
        <sz val="11"/>
        <color theme="1"/>
        <rFont val="宋体"/>
        <family val="3"/>
        <charset val="134"/>
        <scheme val="minor"/>
      </rPr>
      <t>2地块</t>
    </r>
    <phoneticPr fontId="135" type="noConversion"/>
  </si>
  <si>
    <t>配套</t>
    <phoneticPr fontId="135" type="noConversion"/>
  </si>
  <si>
    <t>地下</t>
    <phoneticPr fontId="135" type="noConversion"/>
  </si>
  <si>
    <t>小计</t>
    <phoneticPr fontId="135" type="noConversion"/>
  </si>
  <si>
    <t>1/2阳台</t>
    <phoneticPr fontId="135" type="noConversion"/>
  </si>
  <si>
    <t>合计</t>
    <phoneticPr fontId="135" type="noConversion"/>
  </si>
  <si>
    <t>地上住宅</t>
    <phoneticPr fontId="135" type="noConversion"/>
  </si>
  <si>
    <t>商业</t>
    <phoneticPr fontId="135" type="noConversion"/>
  </si>
  <si>
    <t>物业</t>
    <phoneticPr fontId="135" type="noConversion"/>
  </si>
  <si>
    <t>其他</t>
    <phoneticPr fontId="135" type="noConversion"/>
  </si>
  <si>
    <r>
      <t>7</t>
    </r>
    <r>
      <rPr>
        <sz val="11"/>
        <color theme="1"/>
        <rFont val="宋体"/>
        <family val="3"/>
        <charset val="134"/>
        <scheme val="minor"/>
      </rPr>
      <t>#</t>
    </r>
    <phoneticPr fontId="135" type="noConversion"/>
  </si>
  <si>
    <t>一期建筑面积(一期已竣工)</t>
    <phoneticPr fontId="135" type="noConversion"/>
  </si>
  <si>
    <t>施工证</t>
    <phoneticPr fontId="135" type="noConversion"/>
  </si>
  <si>
    <t>二期建筑面积(二期±0)</t>
    <phoneticPr fontId="135" type="noConversion"/>
  </si>
  <si>
    <r>
      <t>8</t>
    </r>
    <r>
      <rPr>
        <sz val="11"/>
        <color theme="1"/>
        <rFont val="宋体"/>
        <family val="3"/>
        <charset val="134"/>
        <scheme val="minor"/>
      </rPr>
      <t>-11#及地下车库</t>
    </r>
    <phoneticPr fontId="135" type="noConversion"/>
  </si>
  <si>
    <r>
      <t>S</t>
    </r>
    <r>
      <rPr>
        <sz val="11"/>
        <color theme="1"/>
        <rFont val="宋体"/>
        <family val="3"/>
        <charset val="134"/>
        <scheme val="minor"/>
      </rPr>
      <t>1、S2、6#、7#、12#及地下车库</t>
    </r>
    <phoneticPr fontId="135" type="noConversion"/>
  </si>
  <si>
    <t>总计</t>
    <phoneticPr fontId="135" type="noConversion"/>
  </si>
  <si>
    <t>不含地下</t>
    <phoneticPr fontId="135" type="noConversion"/>
  </si>
  <si>
    <t>预售证</t>
    <phoneticPr fontId="135" type="noConversion"/>
  </si>
  <si>
    <r>
      <t>8</t>
    </r>
    <r>
      <rPr>
        <sz val="11"/>
        <color theme="1"/>
        <rFont val="宋体"/>
        <family val="3"/>
        <charset val="134"/>
        <scheme val="minor"/>
      </rPr>
      <t>-11#</t>
    </r>
    <phoneticPr fontId="135" type="noConversion"/>
  </si>
  <si>
    <t>套数</t>
    <phoneticPr fontId="135" type="noConversion"/>
  </si>
  <si>
    <t>12#</t>
    <phoneticPr fontId="135" type="noConversion"/>
  </si>
  <si>
    <t>计容面积</t>
    <phoneticPr fontId="135" type="noConversion"/>
  </si>
  <si>
    <t>张家口．京北金茂悦</t>
    <phoneticPr fontId="135" type="noConversion"/>
  </si>
  <si>
    <t>成本法</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</si>
  <si>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</si>
  <si>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</si>
  <si>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</si>
  <si>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</si>
  <si>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</si>
  <si>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</si>
  <si>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</si>
  <si>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</si>
  <si>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</si>
  <si>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</si>
  <si>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</si>
  <si>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</si>
  <si>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</si>
  <si>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</si>
  <si>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</si>
  <si>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成交特殊政策</t>
  </si>
  <si>
    <t>成交时间</t>
  </si>
  <si>
    <t>交易状态</t>
  </si>
  <si>
    <t>受让单位</t>
  </si>
  <si>
    <t>拿地企业</t>
  </si>
  <si>
    <t>成交价(万元)</t>
  </si>
  <si>
    <t>成交土地单价(元/㎡)</t>
  </si>
  <si>
    <t>成交每亩价(万元/亩)</t>
  </si>
  <si>
    <t>成交楼面价(元/㎡)</t>
  </si>
  <si>
    <t>成交楼面价(除保障房)(元/㎡)</t>
  </si>
  <si>
    <t>溢价率(%)</t>
  </si>
  <si>
    <t>出让年限(年)</t>
  </si>
  <si>
    <t>限地价(万元)</t>
  </si>
  <si>
    <t>限售价(元/㎡)</t>
  </si>
  <si>
    <t>房地价差(元/㎡)</t>
  </si>
  <si>
    <t>政府指导价(元/㎡)</t>
  </si>
  <si>
    <t>开工进度</t>
  </si>
  <si>
    <t>关联供地计划</t>
  </si>
  <si>
    <t>供地计划名称</t>
  </si>
  <si>
    <t>下花园大东排</t>
  </si>
  <si>
    <t>张家口市</t>
  </si>
  <si>
    <t>2023-15</t>
  </si>
  <si>
    <t xml:space="preserve"> 河北省 </t>
  </si>
  <si>
    <t xml:space="preserve"> 下花园区 </t>
  </si>
  <si>
    <t xml:space="preserve"> 下花园大东排 </t>
  </si>
  <si>
    <t xml:space="preserve"> 住宅用地 </t>
  </si>
  <si>
    <t xml:space="preserve"> 1.000&lt; 并且 ≤2.570 </t>
  </si>
  <si>
    <t xml:space="preserve"> 挂牌 </t>
  </si>
  <si>
    <t xml:space="preserve"> 城镇住宅-用于安置的商品住房用地 </t>
  </si>
  <si>
    <t xml:space="preserve">-- </t>
  </si>
  <si>
    <t xml:space="preserve"> -- </t>
  </si>
  <si>
    <t xml:space="preserve"> 已成交 </t>
  </si>
  <si>
    <t xml:space="preserve"> 张家口志泰房地产开发有限公司  </t>
  </si>
  <si>
    <t xml:space="preserve"> 张家口志泰房地产开发有限公司 </t>
  </si>
  <si>
    <t xml:space="preserve"> 70年 </t>
  </si>
  <si>
    <t xml:space="preserve"> 未开工 </t>
  </si>
  <si>
    <t xml:space="preserve"> 否 </t>
  </si>
  <si>
    <t xml:space="preserve"> --</t>
  </si>
  <si>
    <t>下花园区东湖西侧</t>
  </si>
  <si>
    <t>2023-22</t>
  </si>
  <si>
    <t xml:space="preserve"> 下花园区东湖西侧 </t>
  </si>
  <si>
    <t xml:space="preserve"> 1.000&lt; 并且 ≤1.500 </t>
  </si>
  <si>
    <t xml:space="preserve"> 拍卖 </t>
  </si>
  <si>
    <t xml:space="preserve"> 城镇住宅-普通商品住房用地 </t>
  </si>
  <si>
    <t xml:space="preserve"> 张家口润园建设发展集团有限公司  </t>
  </si>
  <si>
    <t xml:space="preserve"> 张家口润园建设发展集团有限公司 </t>
  </si>
  <si>
    <t xml:space="preserve"> 已开工 </t>
  </si>
  <si>
    <t xml:space="preserve"> 是 </t>
  </si>
  <si>
    <t xml:space="preserve"> 下花园区东湖北侧</t>
  </si>
  <si>
    <t>下花园区110国道北侧</t>
  </si>
  <si>
    <t>2023-17</t>
  </si>
  <si>
    <t xml:space="preserve"> 下花园区110国道北侧 </t>
  </si>
  <si>
    <t xml:space="preserve"> 1.000&lt; 并且 ≤1.400 </t>
  </si>
  <si>
    <t xml:space="preserve"> 下花园区110国道北侧</t>
  </si>
  <si>
    <t>下花园区滨河南路北侧</t>
  </si>
  <si>
    <t>2023-20</t>
  </si>
  <si>
    <t xml:space="preserve"> 下花园区滨河南路北侧 </t>
  </si>
  <si>
    <t xml:space="preserve"> 1.000&lt; 并且 ≤1.900 </t>
  </si>
  <si>
    <t xml:space="preserve"> 下花园区滨河南路北侧</t>
  </si>
  <si>
    <t>下花园区凤凰大街南侧</t>
  </si>
  <si>
    <t>2023-1</t>
  </si>
  <si>
    <t xml:space="preserve"> 下花园区凤凰大街南侧 </t>
  </si>
  <si>
    <t xml:space="preserve"> 大于1并且小于或等于1.7 </t>
  </si>
  <si>
    <t xml:space="preserve"> 下花园区凤凰大街南侧</t>
  </si>
  <si>
    <t>2023-2</t>
  </si>
  <si>
    <t>下花园区新立街16号</t>
  </si>
  <si>
    <t>2022-13</t>
  </si>
  <si>
    <t xml:space="preserve"> 下花园区新立街16号 </t>
  </si>
  <si>
    <t xml:space="preserve"> 大于1并且小于或等于1.8 </t>
  </si>
  <si>
    <t xml:space="preserve"> 张家口下花园区达城投资有限责任公司  </t>
  </si>
  <si>
    <t>2022-10号</t>
  </si>
  <si>
    <t xml:space="preserve"> 大于1并且小于或等于1.9 </t>
  </si>
  <si>
    <t xml:space="preserve"> 张家口市下花园区晟城房地产开发有限责任公司  </t>
  </si>
  <si>
    <t xml:space="preserve"> 张家口下花园区晟城房地产开发有限责任公司 </t>
  </si>
  <si>
    <t>下花园区花园街东侧</t>
  </si>
  <si>
    <t>2022-6</t>
  </si>
  <si>
    <t xml:space="preserve"> 下花园区花园街东侧 </t>
  </si>
  <si>
    <t>2021-17</t>
  </si>
  <si>
    <t xml:space="preserve"> 大于1并且小于或等于1.4 </t>
  </si>
  <si>
    <t xml:space="preserve"> 张家口下花园区晟城房地产开发有限责任公司  </t>
  </si>
  <si>
    <t xml:space="preserve"> 已竣工 </t>
  </si>
  <si>
    <t>2021-16</t>
  </si>
  <si>
    <t>滨河南路东侧地块4</t>
  </si>
  <si>
    <t>JK2020-10</t>
  </si>
  <si>
    <t xml:space="preserve"> 滨河南路东侧地块4 </t>
  </si>
  <si>
    <t xml:space="preserve"> &gt; 1.0 、≤2.4 </t>
  </si>
  <si>
    <t xml:space="preserve"> 二类居住用地(R2) </t>
  </si>
  <si>
    <t xml:space="preserve"> 张家口悦乾房地产开发有限公司  </t>
  </si>
  <si>
    <t xml:space="preserve"> 大悦城 </t>
  </si>
  <si>
    <t xml:space="preserve"> 70 年 </t>
  </si>
  <si>
    <t>滨河南路东侧地块1</t>
  </si>
  <si>
    <t>JK2020-07</t>
  </si>
  <si>
    <t xml:space="preserve"> 滨河南路东侧地块1 </t>
  </si>
  <si>
    <t xml:space="preserve"> 大于1并且小于或等于2.4 </t>
  </si>
  <si>
    <t xml:space="preserve"> 城镇住宅用地 </t>
  </si>
  <si>
    <t>2020-10</t>
  </si>
  <si>
    <t xml:space="preserve"> 张家口侨园房地产开发有限公司  </t>
  </si>
  <si>
    <t xml:space="preserve"> 华侨城 </t>
  </si>
  <si>
    <t>下花园区孟家坟村南侧</t>
  </si>
  <si>
    <t>2020-7</t>
  </si>
  <si>
    <t xml:space="preserve"> 下花园区孟家坟村南侧 </t>
  </si>
  <si>
    <t xml:space="preserve"> 大于或等于1并且小于或等于1.9 </t>
  </si>
  <si>
    <t xml:space="preserve"> 张家口轩品房地产开发有限公司  </t>
  </si>
  <si>
    <t>下花园区定方水乡徐家窑北侧</t>
  </si>
  <si>
    <t>2020-5</t>
  </si>
  <si>
    <t xml:space="preserve"> 下花园区定方水乡徐家窑北侧 </t>
  </si>
  <si>
    <t xml:space="preserve"> 大于或等于1并且小于或等于1.4 </t>
  </si>
  <si>
    <t xml:space="preserve"> 张家口市下花园欣辰房地产开发有限责任公司  </t>
  </si>
  <si>
    <t>2019-45</t>
  </si>
  <si>
    <t xml:space="preserve"> 张家口银煌房地产开发有限公司  </t>
  </si>
  <si>
    <t xml:space="preserve"> 中国金茂 </t>
  </si>
  <si>
    <t>下花园区盛源街南侧</t>
  </si>
  <si>
    <t>2019-41</t>
  </si>
  <si>
    <t xml:space="preserve"> 下花园区 </t>
    <phoneticPr fontId="135" type="noConversion"/>
  </si>
  <si>
    <t xml:space="preserve"> 下花园区盛源街南侧 </t>
  </si>
  <si>
    <t xml:space="preserve"> 张家口燕园未名房地产开发有限公司  </t>
  </si>
  <si>
    <t>2019-38</t>
  </si>
  <si>
    <t xml:space="preserve"> 张家口京瑞创合房地产开发有限公司  </t>
  </si>
  <si>
    <t>2019-37</t>
  </si>
  <si>
    <t>2019-34号</t>
  </si>
  <si>
    <t xml:space="preserve"> 高新区西部 </t>
  </si>
  <si>
    <t xml:space="preserve"> 张家口锦瑞欣融房地产开发有限公司  </t>
  </si>
  <si>
    <t xml:space="preserve"> 张家口锦瑞欣融房地产开发有限公司 </t>
  </si>
  <si>
    <t>2019-26</t>
  </si>
  <si>
    <t>下花园区孟家坟村东侧</t>
  </si>
  <si>
    <t>2019-21</t>
  </si>
  <si>
    <t xml:space="preserve"> 下花园区孟家坟村东侧 </t>
  </si>
  <si>
    <t>2019-20</t>
  </si>
  <si>
    <t>2019-22</t>
  </si>
  <si>
    <t>2019-15</t>
  </si>
  <si>
    <t xml:space="preserve"> 大于1并且小于或等于2 </t>
  </si>
  <si>
    <t>下花园区孟家坟村东</t>
  </si>
  <si>
    <t>2019-10</t>
  </si>
  <si>
    <t xml:space="preserve"> 下花园区孟家坟村东 </t>
  </si>
  <si>
    <t>下花园区京藏高速北侧</t>
  </si>
  <si>
    <t>2019-9</t>
  </si>
  <si>
    <t xml:space="preserve"> 下花园区京藏高速北侧 </t>
  </si>
  <si>
    <t>2019-8</t>
  </si>
  <si>
    <t xml:space="preserve"> 大于1并且小于或等于1.6 </t>
  </si>
  <si>
    <t xml:space="preserve"> 张家口京科房地产开发有限公司  </t>
  </si>
  <si>
    <t xml:space="preserve"> 张家口京科房地产开发有限公司 </t>
  </si>
  <si>
    <t>2019-2</t>
  </si>
  <si>
    <t xml:space="preserve"> ≥1,≤1.9 </t>
  </si>
  <si>
    <t xml:space="preserve"> 北京润置商业运营管理有限公司  </t>
  </si>
  <si>
    <t>下花园区东河路南侧</t>
  </si>
  <si>
    <t>2019-1</t>
  </si>
  <si>
    <t xml:space="preserve"> 下花园区东河路南侧 </t>
  </si>
  <si>
    <t xml:space="preserve"> ≥1,≤1.5 </t>
  </si>
  <si>
    <t xml:space="preserve"> 张家口蓝镇房地产开发有限公司  </t>
  </si>
  <si>
    <t>下花园区梧桐大街北侧</t>
  </si>
  <si>
    <t>2019-3</t>
  </si>
  <si>
    <t xml:space="preserve"> 下花园区梧桐大街北侧 </t>
  </si>
  <si>
    <t xml:space="preserve"> 张家口云奥云中房地产开发有限公司  </t>
  </si>
  <si>
    <t xml:space="preserve"> 万科 </t>
  </si>
  <si>
    <t>下花园区前大街北侧</t>
  </si>
  <si>
    <t>2018-26</t>
  </si>
  <si>
    <t xml:space="preserve"> 下花园区前大街北侧 </t>
  </si>
  <si>
    <t xml:space="preserve"> 其他普通商品住房用地 </t>
  </si>
  <si>
    <t xml:space="preserve"> 张家口勇鑫房地产开发有限公司  </t>
  </si>
  <si>
    <t>下花园区110国道南侧</t>
  </si>
  <si>
    <t>2018-25</t>
  </si>
  <si>
    <t xml:space="preserve"> 下花园区110国道南侧 </t>
  </si>
  <si>
    <t xml:space="preserve"> 张家口中诚房地产开发有限公司  </t>
  </si>
  <si>
    <t>西外环路南侧</t>
  </si>
  <si>
    <t>JK2018-08</t>
  </si>
  <si>
    <t xml:space="preserve"> 西外环路南侧 </t>
  </si>
  <si>
    <t xml:space="preserve"> 中低价位、中小套型普通商品住房用地 </t>
  </si>
  <si>
    <t xml:space="preserve"> 张家口东丽房地产开发有限公司  </t>
  </si>
  <si>
    <t xml:space="preserve"> 东胜地产 </t>
  </si>
  <si>
    <t>张家口市桥西区张崇公路东侧(孤石村)</t>
  </si>
  <si>
    <t>2017-Z046</t>
  </si>
  <si>
    <t xml:space="preserve"> 桥西北部其它区域 </t>
  </si>
  <si>
    <t xml:space="preserve"> 张家口市桥西区张崇公路东侧(孤石村) </t>
  </si>
  <si>
    <t xml:space="preserve"> 综合用地(含住宅) </t>
  </si>
  <si>
    <t xml:space="preserve"> 张家口市万方房地产开发集团有限公司  </t>
  </si>
  <si>
    <t>下花园区洋河南侧武家房</t>
  </si>
  <si>
    <t>2018-19</t>
  </si>
  <si>
    <t xml:space="preserve"> 下花园区洋河南侧武家房 </t>
  </si>
  <si>
    <t xml:space="preserve"> 大于1并且小于或等于1.5 </t>
  </si>
  <si>
    <t xml:space="preserve"> 张家口荣峰房地产开发有限公司  </t>
  </si>
  <si>
    <t xml:space="preserve"> 荣盛发展 </t>
  </si>
  <si>
    <t>下花园区西苑路西侧</t>
  </si>
  <si>
    <t>2018-18</t>
  </si>
  <si>
    <t xml:space="preserve"> 下花园区西苑路西侧 </t>
  </si>
  <si>
    <t xml:space="preserve"> 张家口冠科房地产开发有限公司  </t>
  </si>
  <si>
    <t xml:space="preserve"> 阳光城集团 </t>
  </si>
  <si>
    <t>下花园区东园路西侧</t>
  </si>
  <si>
    <t>2018-15</t>
  </si>
  <si>
    <t xml:space="preserve"> 下花园区东园路西侧 </t>
  </si>
  <si>
    <t xml:space="preserve"> 招标 </t>
  </si>
  <si>
    <t>2018-13</t>
  </si>
  <si>
    <t>2018-17</t>
  </si>
  <si>
    <t>2018-11</t>
  </si>
  <si>
    <t xml:space="preserve"> 桥东核心区南部 </t>
  </si>
  <si>
    <t xml:space="preserve"> 阿拉丁智汇城房地产开发(张家口)有限公司  </t>
  </si>
  <si>
    <t>下花园区东河路北侧</t>
  </si>
  <si>
    <t>2018-10</t>
  </si>
  <si>
    <t xml:space="preserve"> 下花园区东河路北侧 </t>
  </si>
  <si>
    <t>下花园区洋河南侧</t>
  </si>
  <si>
    <t>2018-09</t>
  </si>
  <si>
    <t xml:space="preserve"> 宣化南 </t>
  </si>
  <si>
    <t xml:space="preserve"> 下花园区洋河南侧 </t>
  </si>
  <si>
    <t xml:space="preserve"> 张家口市下花园安盛房地产开发有限公公司  </t>
  </si>
  <si>
    <t>2018-04</t>
  </si>
  <si>
    <t xml:space="preserve"> 大于或等于1并且小于或等于1.5 </t>
  </si>
  <si>
    <t>下花园区龙兴路北侧</t>
  </si>
  <si>
    <t>2017-25号</t>
  </si>
  <si>
    <t xml:space="preserve"> 下花园区龙兴路北侧 </t>
  </si>
  <si>
    <t xml:space="preserve"> 公共租赁住房用地 </t>
  </si>
  <si>
    <t>下花园区公路街东侧</t>
  </si>
  <si>
    <t>2017-27号</t>
  </si>
  <si>
    <t xml:space="preserve"> 下花园区公路街东侧 </t>
  </si>
  <si>
    <t>下花园区龙兴路南侧</t>
  </si>
  <si>
    <t>2017-24号</t>
  </si>
  <si>
    <t xml:space="preserve"> 下花园区龙兴路南侧 </t>
  </si>
  <si>
    <t xml:space="preserve"> 张家口下花园区碧桂园房地产开发有限公司  </t>
  </si>
  <si>
    <t xml:space="preserve"> 碧桂园 </t>
  </si>
  <si>
    <t>下花园区杨树沟路东侧</t>
  </si>
  <si>
    <t>2017-23号</t>
  </si>
  <si>
    <t xml:space="preserve"> 下花园区杨树沟路东侧 </t>
  </si>
  <si>
    <t>下花园区新兴街北侧</t>
  </si>
  <si>
    <t>2017-20</t>
  </si>
  <si>
    <t xml:space="preserve"> 下花园区新兴街北侧 </t>
  </si>
  <si>
    <t xml:space="preserve"> &gt;1且≤2.4 </t>
  </si>
  <si>
    <t xml:space="preserve"> 张家口市勇鑫房地产开发公司  </t>
  </si>
  <si>
    <t>2017-18</t>
  </si>
  <si>
    <t xml:space="preserve"> 张家口鲁能置业有限公司  </t>
  </si>
  <si>
    <t>2017-19</t>
  </si>
  <si>
    <t>2017-15</t>
  </si>
  <si>
    <t>2017-13</t>
  </si>
  <si>
    <t>下花园区高新西大街南侧</t>
  </si>
  <si>
    <t>2017-09</t>
  </si>
  <si>
    <t xml:space="preserve"> 下花园区高新西大街南侧 </t>
  </si>
  <si>
    <t xml:space="preserve"> 张家口正德房地产开发有限公司  </t>
  </si>
  <si>
    <t>2017-02</t>
  </si>
  <si>
    <t xml:space="preserve"> &gt;1且≤2.8 </t>
  </si>
  <si>
    <t xml:space="preserve"> 住宅、商业 </t>
  </si>
  <si>
    <t xml:space="preserve"> 张家口四方馆置业有限公司  </t>
  </si>
  <si>
    <t xml:space="preserve"> 住宅70年,商业40年 </t>
  </si>
  <si>
    <t>2017-01</t>
  </si>
  <si>
    <t xml:space="preserve"> &gt;1且≤2 </t>
  </si>
  <si>
    <t xml:space="preserve"> 张家口市下花园安盛房地产开发有限公司  </t>
  </si>
  <si>
    <t>2017-03</t>
  </si>
  <si>
    <t>2017-04</t>
  </si>
  <si>
    <t xml:space="preserve"> &gt;1且≤1.5 </t>
  </si>
  <si>
    <t>下花园区广电局北侧</t>
  </si>
  <si>
    <t>2016-023号</t>
  </si>
  <si>
    <t xml:space="preserve"> 下花园区广电局北侧 </t>
  </si>
  <si>
    <t xml:space="preserve"> 张家口市富园房地产开发有限公司  </t>
  </si>
  <si>
    <t>https://j.map.baidu.com/ff/snci</t>
    <phoneticPr fontId="135" type="noConversion"/>
  </si>
  <si>
    <t>总价</t>
  </si>
  <si>
    <t>万科京城上方，9层洋房8500-9500，精装修，车位使用权，无产权，80-120月管理费，高层18层6500-7200，精装，合院，130平的地上3层地下1层，赠送40平小花园，单价22000-26000，18034030909田销售</t>
    <phoneticPr fontId="135" type="noConversion"/>
  </si>
  <si>
    <t>张家口．京北金茂悦</t>
    <phoneticPr fontId="135" type="noConversion"/>
  </si>
  <si>
    <t>河北省张家口市</t>
    <phoneticPr fontId="7" type="noConversion"/>
  </si>
  <si>
    <t>下花园区110国道北侧“京北金茂悦”项目</t>
    <phoneticPr fontId="7" type="noConversion"/>
  </si>
  <si>
    <t>京北金茂悦</t>
    <phoneticPr fontId="4" type="noConversion"/>
  </si>
  <si>
    <t>京北金茂悦</t>
    <phoneticPr fontId="135" type="noConversion"/>
  </si>
  <si>
    <t>项目名称</t>
    <phoneticPr fontId="135" type="noConversion"/>
  </si>
  <si>
    <t>类型</t>
    <phoneticPr fontId="135" type="noConversion"/>
  </si>
  <si>
    <t>小高层，二手房</t>
    <phoneticPr fontId="135" type="noConversion"/>
  </si>
  <si>
    <t>精装</t>
    <phoneticPr fontId="135" type="noConversion"/>
  </si>
  <si>
    <t>售价</t>
    <phoneticPr fontId="135" type="noConversion"/>
  </si>
  <si>
    <t>万科京城上方</t>
    <phoneticPr fontId="25" type="noConversion"/>
  </si>
  <si>
    <t>万科京城上方</t>
    <phoneticPr fontId="135" type="noConversion"/>
  </si>
  <si>
    <t>8500-9500</t>
    <phoneticPr fontId="135" type="noConversion"/>
  </si>
  <si>
    <t>高层18层</t>
    <phoneticPr fontId="135" type="noConversion"/>
  </si>
  <si>
    <t>6500-7200</t>
    <phoneticPr fontId="135" type="noConversion"/>
  </si>
  <si>
    <t>精装</t>
    <phoneticPr fontId="135" type="noConversion"/>
  </si>
  <si>
    <t>单价22000-26000</t>
    <phoneticPr fontId="135" type="noConversion"/>
  </si>
  <si>
    <t>合院</t>
    <phoneticPr fontId="135" type="noConversion"/>
  </si>
  <si>
    <t>毛坯，130平的地上3层地下1层，赠送40平小花园，</t>
    <phoneticPr fontId="135" type="noConversion"/>
  </si>
  <si>
    <t>名爵滨河花园</t>
    <phoneticPr fontId="25" type="noConversion"/>
  </si>
  <si>
    <t>名爵滨河花园</t>
    <phoneticPr fontId="135" type="noConversion"/>
  </si>
  <si>
    <t>高层</t>
    <phoneticPr fontId="135" type="noConversion"/>
  </si>
  <si>
    <t>毛坯</t>
    <phoneticPr fontId="135" type="noConversion"/>
  </si>
  <si>
    <t>6千多</t>
    <phoneticPr fontId="135" type="noConversion"/>
  </si>
  <si>
    <t>阳光城翡丽府</t>
    <phoneticPr fontId="135" type="noConversion"/>
  </si>
  <si>
    <t>4400-5000</t>
    <phoneticPr fontId="135" type="noConversion"/>
  </si>
  <si>
    <t>高层，新房现房</t>
    <phoneticPr fontId="135" type="noConversion"/>
  </si>
  <si>
    <t>9层洋房，新房，现房</t>
    <phoneticPr fontId="135" type="noConversion"/>
  </si>
  <si>
    <t>洋房，新房，现房</t>
    <phoneticPr fontId="135" type="noConversion"/>
  </si>
  <si>
    <t>9层洋房，新房，现房</t>
    <phoneticPr fontId="135" type="noConversion"/>
  </si>
  <si>
    <t>瑞士公馆</t>
    <phoneticPr fontId="135" type="noConversion"/>
  </si>
  <si>
    <t>13层小高层</t>
    <phoneticPr fontId="135" type="noConversion"/>
  </si>
  <si>
    <t>毛坯</t>
    <phoneticPr fontId="135" type="noConversion"/>
  </si>
  <si>
    <t>京北橡树湾</t>
    <phoneticPr fontId="135" type="noConversion"/>
  </si>
  <si>
    <t>绿城·燕语桃源</t>
    <phoneticPr fontId="135" type="noConversion"/>
  </si>
  <si>
    <t>洋房、小高层</t>
  </si>
  <si>
    <t>洋房、小高层</t>
    <phoneticPr fontId="25" type="noConversion"/>
  </si>
  <si>
    <t>高档</t>
  </si>
  <si>
    <t>绿城·燕语桃源</t>
    <phoneticPr fontId="25" type="noConversion"/>
  </si>
  <si>
    <t>住宅</t>
    <phoneticPr fontId="31"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</si>
  <si>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</si>
  <si>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</si>
  <si>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</si>
  <si>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</si>
  <si>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</si>
  <si>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较规则</t>
  </si>
  <si>
    <t>较规则</t>
    <phoneticPr fontId="31" type="noConversion"/>
  </si>
  <si>
    <t>较合适</t>
    <phoneticPr fontId="31" type="noConversion"/>
  </si>
  <si>
    <t>较好</t>
    <phoneticPr fontId="31" type="noConversion"/>
  </si>
  <si>
    <t>挂牌</t>
  </si>
  <si>
    <t>已售</t>
    <phoneticPr fontId="135" type="noConversion"/>
  </si>
  <si>
    <t>未售</t>
    <phoneticPr fontId="135" type="noConversion"/>
  </si>
  <si>
    <t>建面</t>
    <phoneticPr fontId="135" type="noConversion"/>
  </si>
  <si>
    <t>分摊土地</t>
    <phoneticPr fontId="135" type="noConversion"/>
  </si>
  <si>
    <t>计容合计</t>
    <phoneticPr fontId="135" type="noConversion"/>
  </si>
  <si>
    <t>地下</t>
  </si>
  <si>
    <t>商业-配套</t>
  </si>
  <si>
    <t>商业-配套</t>
    <phoneticPr fontId="8" type="noConversion"/>
  </si>
  <si>
    <t>地下车库</t>
  </si>
  <si>
    <t>商业街</t>
  </si>
  <si>
    <t>收益法-商业</t>
  </si>
  <si>
    <t>收益法-商业</t>
    <phoneticPr fontId="17" type="noConversion"/>
  </si>
  <si>
    <t>项目局部</t>
  </si>
  <si>
    <t>全部缴纳</t>
  </si>
  <si>
    <t>已包含在土地取得成本中</t>
  </si>
  <si>
    <t>未包含在土地购买价格中</t>
  </si>
  <si>
    <t>成本法-商业</t>
  </si>
  <si>
    <t>成本法-商业</t>
    <phoneticPr fontId="17" type="noConversion"/>
  </si>
  <si>
    <t>成本法-地下车库</t>
    <phoneticPr fontId="17" type="noConversion"/>
  </si>
  <si>
    <t>收益法-地下车库</t>
  </si>
  <si>
    <t>收益法-地下车库</t>
    <phoneticPr fontId="17" type="noConversion"/>
  </si>
  <si>
    <t>A2地块住宅</t>
    <phoneticPr fontId="135" type="noConversion"/>
  </si>
  <si>
    <t>A2地块商业</t>
    <phoneticPr fontId="135" type="noConversion"/>
  </si>
  <si>
    <t>成本比率</t>
  </si>
  <si>
    <t>建筑面积</t>
  </si>
  <si>
    <t>分摊土地面积</t>
  </si>
  <si>
    <t>建筑物价值</t>
  </si>
  <si>
    <r>
      <rPr>
        <b/>
        <sz val="11"/>
        <color rgb="FFFFFFFF"/>
        <rFont val="华文楷体"/>
        <family val="3"/>
        <charset val="134"/>
      </rPr>
      <t>类型</t>
    </r>
  </si>
  <si>
    <r>
      <rPr>
        <b/>
        <sz val="11"/>
        <color rgb="FFFFFFFF"/>
        <rFont val="华文楷体"/>
        <family val="3"/>
        <charset val="134"/>
      </rPr>
      <t>总可售面积</t>
    </r>
  </si>
  <si>
    <r>
      <rPr>
        <b/>
        <sz val="11"/>
        <color rgb="FFFFFFFF"/>
        <rFont val="华文楷体"/>
        <family val="3"/>
        <charset val="134"/>
      </rPr>
      <t>已售部分</t>
    </r>
  </si>
  <si>
    <r>
      <rPr>
        <b/>
        <sz val="11"/>
        <color rgb="FFFFFFFF"/>
        <rFont val="华文楷体"/>
        <family val="3"/>
        <charset val="134"/>
      </rPr>
      <t>剩余未售部分</t>
    </r>
  </si>
  <si>
    <t>张家口下花园区“京北金茂悦” 项目土地面积合计243092.55平方米，建筑面积合计568269.58平方米，评估价值约57000-58000万元</t>
  </si>
  <si>
    <r>
      <rPr>
        <b/>
        <sz val="11"/>
        <color rgb="FFFFFFFF"/>
        <rFont val="华文楷体"/>
        <family val="3"/>
        <charset val="134"/>
      </rPr>
      <t>均价</t>
    </r>
  </si>
  <si>
    <r>
      <rPr>
        <b/>
        <sz val="11"/>
        <color rgb="FFFFFFFF"/>
        <rFont val="华文楷体"/>
        <family val="3"/>
        <charset val="134"/>
      </rPr>
      <t>签约面积</t>
    </r>
  </si>
  <si>
    <r>
      <rPr>
        <b/>
        <sz val="11"/>
        <color rgb="FFFFFFFF"/>
        <rFont val="华文楷体"/>
        <family val="3"/>
        <charset val="134"/>
      </rPr>
      <t>签约金额</t>
    </r>
  </si>
  <si>
    <r>
      <rPr>
        <b/>
        <sz val="11"/>
        <color rgb="FFFFFFFF"/>
        <rFont val="华文楷体"/>
        <family val="3"/>
        <charset val="134"/>
      </rPr>
      <t>回款金额</t>
    </r>
  </si>
  <si>
    <r>
      <rPr>
        <b/>
        <sz val="11"/>
        <color rgb="FFFFFFFF"/>
        <rFont val="华文楷体"/>
        <family val="3"/>
        <charset val="134"/>
      </rPr>
      <t>未售面积</t>
    </r>
  </si>
  <si>
    <r>
      <rPr>
        <b/>
        <sz val="11"/>
        <color rgb="FFFFFFFF"/>
        <rFont val="华文楷体"/>
        <family val="3"/>
        <charset val="134"/>
      </rPr>
      <t>未售货值</t>
    </r>
  </si>
  <si>
    <r>
      <rPr>
        <b/>
        <sz val="11"/>
        <color rgb="FFFFFFFF"/>
        <rFont val="华文楷体"/>
        <family val="3"/>
        <charset val="134"/>
      </rPr>
      <t>评估均价</t>
    </r>
  </si>
  <si>
    <r>
      <rPr>
        <b/>
        <sz val="11"/>
        <color rgb="FFFFFFFF"/>
        <rFont val="华文楷体"/>
        <family val="3"/>
        <charset val="134"/>
      </rPr>
      <t>评估总价</t>
    </r>
  </si>
  <si>
    <t>A1住宅地块：土地面积103091平方米，建筑面积195873.11平方米，评估价值约19000-19500万元</t>
  </si>
  <si>
    <t>占地面积</t>
  </si>
  <si>
    <r>
      <rPr>
        <b/>
        <sz val="11"/>
        <color rgb="FFFFFFFF"/>
        <rFont val="华文楷体"/>
        <family val="3"/>
        <charset val="134"/>
      </rPr>
      <t>（㎡、个）</t>
    </r>
  </si>
  <si>
    <r>
      <rPr>
        <b/>
        <sz val="11"/>
        <color rgb="FFFFFFFF"/>
        <rFont val="华文楷体"/>
        <family val="3"/>
        <charset val="134"/>
      </rPr>
      <t>(元/平、元/个)</t>
    </r>
  </si>
  <si>
    <r>
      <rPr>
        <b/>
        <sz val="11"/>
        <color rgb="FFFFFFFF"/>
        <rFont val="华文楷体"/>
        <family val="3"/>
        <charset val="134"/>
      </rPr>
      <t>（平、个）</t>
    </r>
  </si>
  <si>
    <r>
      <rPr>
        <b/>
        <sz val="11"/>
        <color rgb="FFFFFFFF"/>
        <rFont val="华文楷体"/>
        <family val="3"/>
        <charset val="134"/>
      </rPr>
      <t>（万元）</t>
    </r>
  </si>
  <si>
    <r>
      <rPr>
        <b/>
        <sz val="11"/>
        <color rgb="FFFFFFFF"/>
        <rFont val="华文楷体"/>
        <family val="3"/>
        <charset val="134"/>
      </rPr>
      <t>（按已实现均价计算）</t>
    </r>
  </si>
  <si>
    <t>A2已竣工部分：分摊土地面积14364.73平方米，建筑面积39359.72平方米，评估价值约26000万元</t>
  </si>
  <si>
    <t>住宅-A2（南区7~12#）</t>
  </si>
  <si>
    <t>A2剩余部分土地：分摊土地面积45570.44平方米，建筑面积124864.17平方米，评估价值约4500万元</t>
  </si>
  <si>
    <t>住宅-A2（北区1~6#未开发）</t>
  </si>
  <si>
    <r>
      <rPr>
        <sz val="11"/>
        <color rgb="FF000000"/>
        <rFont val="华文楷体"/>
        <family val="3"/>
        <charset val="134"/>
      </rPr>
      <t>合计</t>
    </r>
  </si>
  <si>
    <t>K商业地块：土地面积80066.38平方米，建筑面积208172.58平方米，评估价值约8000万元</t>
  </si>
  <si>
    <t>未开发部分</t>
  </si>
  <si>
    <t>土地成本</t>
  </si>
  <si>
    <t>备注</t>
  </si>
  <si>
    <t>（平）</t>
  </si>
  <si>
    <t>已投入建安</t>
  </si>
  <si>
    <t>住宅-A1（未开发）</t>
  </si>
  <si>
    <t>住宅-K（未开发）</t>
  </si>
  <si>
    <r>
      <rPr>
        <b/>
        <sz val="12"/>
        <color rgb="FFFFFFFF"/>
        <rFont val="华文楷体"/>
        <family val="3"/>
        <charset val="134"/>
      </rPr>
      <t>类型</t>
    </r>
  </si>
  <si>
    <t>未售货值
（评估*0.8）</t>
  </si>
  <si>
    <t>未售货值
（均价*0.8）</t>
  </si>
  <si>
    <t>项目预估</t>
  </si>
  <si>
    <t>剩余货值取数</t>
  </si>
  <si>
    <r>
      <rPr>
        <sz val="11"/>
        <color rgb="FF000000"/>
        <rFont val="华文楷体"/>
        <family val="3"/>
        <charset val="134"/>
      </rPr>
      <t>-</t>
    </r>
  </si>
  <si>
    <r>
      <rPr>
        <sz val="11"/>
        <color rgb="FF000000"/>
        <rFont val="华文楷体"/>
        <family val="3"/>
        <charset val="134"/>
      </rPr>
      <t>业态</t>
    </r>
  </si>
  <si>
    <r>
      <rPr>
        <sz val="11"/>
        <color rgb="FF000000"/>
        <rFont val="华文楷体"/>
        <family val="3"/>
        <charset val="134"/>
      </rPr>
      <t>类型</t>
    </r>
  </si>
  <si>
    <r>
      <rPr>
        <sz val="11"/>
        <color rgb="FF000000"/>
        <rFont val="华文楷体"/>
        <family val="3"/>
        <charset val="134"/>
      </rPr>
      <t>2023年12月及以前</t>
    </r>
  </si>
  <si>
    <r>
      <rPr>
        <sz val="11"/>
        <color rgb="FF000000"/>
        <rFont val="华文楷体"/>
        <family val="3"/>
        <charset val="134"/>
      </rPr>
      <t>2024年</t>
    </r>
  </si>
  <si>
    <r>
      <rPr>
        <sz val="11"/>
        <color rgb="FF000000"/>
        <rFont val="华文楷体"/>
        <family val="3"/>
        <charset val="134"/>
      </rPr>
      <t>2025年</t>
    </r>
  </si>
  <si>
    <r>
      <rPr>
        <sz val="11"/>
        <color rgb="FF000000"/>
        <rFont val="华文楷体"/>
        <family val="3"/>
        <charset val="134"/>
      </rPr>
      <t>2026年</t>
    </r>
  </si>
  <si>
    <r>
      <rPr>
        <sz val="11"/>
        <color rgb="FF000000"/>
        <rFont val="华文楷体"/>
        <family val="3"/>
        <charset val="134"/>
      </rPr>
      <t>2027年</t>
    </r>
  </si>
  <si>
    <r>
      <rPr>
        <sz val="11"/>
        <color rgb="FF000000"/>
        <rFont val="华文楷体"/>
        <family val="3"/>
        <charset val="134"/>
      </rPr>
      <t>2028年</t>
    </r>
  </si>
  <si>
    <r>
      <rPr>
        <sz val="11"/>
        <color rgb="FF000000"/>
        <rFont val="华文楷体"/>
        <family val="3"/>
        <charset val="134"/>
      </rPr>
      <t>2029年</t>
    </r>
  </si>
  <si>
    <r>
      <rPr>
        <sz val="11"/>
        <color rgb="FF000000"/>
        <rFont val="华文楷体"/>
        <family val="3"/>
        <charset val="134"/>
      </rPr>
      <t>签约面积（㎡）</t>
    </r>
  </si>
  <si>
    <r>
      <rPr>
        <sz val="11"/>
        <color rgb="FF000000"/>
        <rFont val="华文楷体"/>
        <family val="3"/>
        <charset val="134"/>
      </rPr>
      <t>签约值（万元）</t>
    </r>
  </si>
  <si>
    <t>回款金额（万元）</t>
  </si>
  <si>
    <t>土地价值（签约/回款金额）</t>
  </si>
  <si>
    <r>
      <rPr>
        <sz val="11"/>
        <color rgb="FF000000"/>
        <rFont val="华文楷体"/>
        <family val="3"/>
        <charset val="134"/>
      </rPr>
      <t>签约额（万元）</t>
    </r>
  </si>
  <si>
    <r>
      <rPr>
        <sz val="11"/>
        <color rgb="FF000000"/>
        <rFont val="华文楷体"/>
        <family val="3"/>
        <charset val="134"/>
      </rPr>
      <t>回款额（万元）</t>
    </r>
  </si>
  <si>
    <r>
      <rPr>
        <b/>
        <sz val="11"/>
        <color rgb="FFFFFFFF"/>
        <rFont val="宋体"/>
        <family val="3"/>
        <charset val="134"/>
        <scheme val="minor"/>
      </rPr>
      <t>科目编码</t>
    </r>
  </si>
  <si>
    <r>
      <rPr>
        <b/>
        <sz val="11"/>
        <color rgb="FFFFFFFF"/>
        <rFont val="宋体"/>
        <family val="3"/>
        <charset val="134"/>
        <scheme val="minor"/>
      </rPr>
      <t>科目名称</t>
    </r>
  </si>
  <si>
    <r>
      <rPr>
        <b/>
        <sz val="11"/>
        <color rgb="FFFFFFFF"/>
        <rFont val="宋体"/>
        <family val="3"/>
        <charset val="134"/>
        <scheme val="minor"/>
      </rPr>
      <t>目标成本</t>
    </r>
  </si>
  <si>
    <r>
      <rPr>
        <b/>
        <sz val="11"/>
        <color rgb="FFFFFFFF"/>
        <rFont val="宋体"/>
        <family val="3"/>
        <charset val="134"/>
        <scheme val="minor"/>
      </rPr>
      <t>动态成本</t>
    </r>
  </si>
  <si>
    <r>
      <rPr>
        <b/>
        <sz val="11"/>
        <color rgb="FFFFFFFF"/>
        <rFont val="宋体"/>
        <family val="3"/>
        <charset val="134"/>
        <scheme val="minor"/>
      </rPr>
      <t>累计已支付金额</t>
    </r>
  </si>
  <si>
    <r>
      <rPr>
        <b/>
        <sz val="11"/>
        <color rgb="FFFFFFFF"/>
        <rFont val="宋体"/>
        <family val="3"/>
        <charset val="134"/>
        <scheme val="minor"/>
      </rPr>
      <t>累计支付比例</t>
    </r>
  </si>
  <si>
    <r>
      <rPr>
        <b/>
        <sz val="11"/>
        <color rgb="FFFFFFFF"/>
        <rFont val="宋体"/>
        <family val="3"/>
        <charset val="134"/>
        <scheme val="minor"/>
      </rPr>
      <t>预计结算金额</t>
    </r>
  </si>
  <si>
    <r>
      <rPr>
        <b/>
        <sz val="11"/>
        <color rgb="FFFFFFFF"/>
        <rFont val="宋体"/>
        <family val="3"/>
        <charset val="134"/>
        <scheme val="minor"/>
      </rPr>
      <t>未付金额</t>
    </r>
  </si>
  <si>
    <r>
      <rPr>
        <b/>
        <sz val="11"/>
        <color rgb="FFFFFFFF"/>
        <rFont val="宋体"/>
        <family val="3"/>
        <charset val="134"/>
        <scheme val="minor"/>
      </rPr>
      <t>未付比例</t>
    </r>
  </si>
  <si>
    <r>
      <rPr>
        <b/>
        <sz val="11"/>
        <color rgb="FFFFFFFF"/>
        <rFont val="宋体"/>
        <family val="3"/>
        <charset val="134"/>
        <scheme val="minor"/>
      </rPr>
      <t>未付部分支付计划</t>
    </r>
  </si>
  <si>
    <r>
      <rPr>
        <b/>
        <sz val="11"/>
        <color rgb="FFFFFFFF"/>
        <rFont val="宋体"/>
        <family val="3"/>
        <charset val="134"/>
        <scheme val="minor"/>
      </rPr>
      <t>2024年</t>
    </r>
  </si>
  <si>
    <t>....</t>
  </si>
  <si>
    <t>2029年</t>
  </si>
  <si>
    <r>
      <rPr>
        <sz val="10.5"/>
        <color rgb="FF333333"/>
        <rFont val="Verdana"/>
        <family val="2"/>
      </rPr>
      <t>目标及调整（A）</t>
    </r>
  </si>
  <si>
    <r>
      <rPr>
        <sz val="10.5"/>
        <color rgb="FF333333"/>
        <rFont val="Verdana"/>
        <family val="2"/>
      </rPr>
      <t>预计签约金额(M)</t>
    </r>
  </si>
  <si>
    <r>
      <rPr>
        <b/>
        <sz val="11"/>
        <color rgb="FF000000"/>
        <rFont val="华文楷体"/>
        <family val="3"/>
        <charset val="134"/>
      </rPr>
      <t>建造成本</t>
    </r>
  </si>
  <si>
    <r>
      <rPr>
        <sz val="11"/>
        <color rgb="FF000000"/>
        <rFont val="华文楷体"/>
        <family val="3"/>
        <charset val="134"/>
      </rPr>
      <t>前期工程费</t>
    </r>
  </si>
  <si>
    <r>
      <rPr>
        <sz val="11"/>
        <color rgb="FF000000"/>
        <rFont val="华文楷体"/>
        <family val="3"/>
        <charset val="134"/>
      </rPr>
      <t>建筑安装工程费</t>
    </r>
  </si>
  <si>
    <r>
      <rPr>
        <sz val="11"/>
        <color rgb="FF000000"/>
        <rFont val="华文楷体"/>
        <family val="3"/>
        <charset val="134"/>
      </rPr>
      <t>基础设施建设费</t>
    </r>
  </si>
  <si>
    <r>
      <rPr>
        <sz val="11"/>
        <color rgb="FF000000"/>
        <rFont val="华文楷体"/>
        <family val="3"/>
        <charset val="134"/>
      </rPr>
      <t>公共配套设施费</t>
    </r>
  </si>
  <si>
    <r>
      <rPr>
        <sz val="11"/>
        <color rgb="FF000000"/>
        <rFont val="华文楷体"/>
        <family val="3"/>
        <charset val="134"/>
      </rPr>
      <t>不可预见费</t>
    </r>
  </si>
  <si>
    <r>
      <rPr>
        <sz val="11"/>
        <color rgb="FF000000"/>
        <rFont val="华文楷体"/>
        <family val="3"/>
        <charset val="134"/>
      </rPr>
      <t>物业启动费</t>
    </r>
  </si>
  <si>
    <r>
      <rPr>
        <b/>
        <sz val="11"/>
        <color rgb="FFFFFFFF"/>
        <rFont val="华文楷体"/>
        <family val="3"/>
        <charset val="134"/>
      </rPr>
      <t>2023年12月及以前</t>
    </r>
  </si>
  <si>
    <r>
      <rPr>
        <b/>
        <sz val="11"/>
        <color rgb="FFFFFFFF"/>
        <rFont val="华文楷体"/>
        <family val="3"/>
        <charset val="134"/>
      </rPr>
      <t>2024年</t>
    </r>
  </si>
  <si>
    <r>
      <rPr>
        <b/>
        <sz val="11"/>
        <color rgb="FFFFFFFF"/>
        <rFont val="华文楷体"/>
        <family val="3"/>
        <charset val="134"/>
      </rPr>
      <t>2025年</t>
    </r>
  </si>
  <si>
    <r>
      <rPr>
        <b/>
        <sz val="11"/>
        <color rgb="FFFFFFFF"/>
        <rFont val="华文楷体"/>
        <family val="3"/>
        <charset val="134"/>
      </rPr>
      <t>2026年</t>
    </r>
  </si>
  <si>
    <r>
      <rPr>
        <b/>
        <sz val="11"/>
        <color rgb="FFFFFFFF"/>
        <rFont val="华文楷体"/>
        <family val="3"/>
        <charset val="134"/>
      </rPr>
      <t>2027年</t>
    </r>
  </si>
  <si>
    <r>
      <rPr>
        <b/>
        <sz val="11"/>
        <color rgb="FFFFFFFF"/>
        <rFont val="华文楷体"/>
        <family val="3"/>
        <charset val="134"/>
      </rPr>
      <t>2028年</t>
    </r>
  </si>
  <si>
    <r>
      <rPr>
        <b/>
        <sz val="11"/>
        <color rgb="FFFFFFFF"/>
        <rFont val="华文楷体"/>
        <family val="3"/>
        <charset val="134"/>
      </rPr>
      <t>2029年</t>
    </r>
  </si>
  <si>
    <r>
      <rPr>
        <b/>
        <sz val="11"/>
        <color rgb="FFFFFFFF"/>
        <rFont val="华文楷体"/>
        <family val="3"/>
        <charset val="134"/>
      </rPr>
      <t>合计</t>
    </r>
  </si>
  <si>
    <r>
      <rPr>
        <b/>
        <sz val="11"/>
        <color rgb="FF000000"/>
        <rFont val="华文楷体"/>
        <family val="3"/>
        <charset val="134"/>
      </rPr>
      <t>支付的各种税费</t>
    </r>
  </si>
  <si>
    <r>
      <rPr>
        <sz val="11"/>
        <color rgb="FF000000"/>
        <rFont val="华文楷体"/>
        <family val="3"/>
        <charset val="134"/>
      </rPr>
      <t>支付所得税税金支出的现金</t>
    </r>
  </si>
  <si>
    <r>
      <rPr>
        <sz val="11"/>
        <color rgb="FF000000"/>
        <rFont val="华文楷体"/>
        <family val="3"/>
        <charset val="134"/>
      </rPr>
      <t>支付土地增值税的现金</t>
    </r>
  </si>
  <si>
    <r>
      <rPr>
        <sz val="11"/>
        <color rgb="FF000000"/>
        <rFont val="华文楷体"/>
        <family val="3"/>
        <charset val="134"/>
      </rPr>
      <t>支付房产税的现金</t>
    </r>
  </si>
  <si>
    <r>
      <rPr>
        <sz val="11"/>
        <color rgb="FF000000"/>
        <rFont val="华文楷体"/>
        <family val="3"/>
        <charset val="134"/>
      </rPr>
      <t>支付增值税及附加的现金</t>
    </r>
  </si>
  <si>
    <t>含A1地块3025399.80元耕地占用税</t>
  </si>
  <si>
    <r>
      <rPr>
        <sz val="11"/>
        <color rgb="FF000000"/>
        <rFont val="华文楷体"/>
        <family val="3"/>
        <charset val="134"/>
      </rPr>
      <t>支付其它税种的现金</t>
    </r>
  </si>
  <si>
    <t>2030年</t>
  </si>
  <si>
    <t>2031年</t>
  </si>
  <si>
    <t>支付的各种税费</t>
  </si>
  <si>
    <t xml:space="preserve">  其中：支付营业税金及附加的现金</t>
  </si>
  <si>
    <t xml:space="preserve">  其中：支付所得税税金支出的现金</t>
  </si>
  <si>
    <t xml:space="preserve">  其中：支付土地增值税的现金</t>
  </si>
  <si>
    <t xml:space="preserve">  其中：支付房产税的现金</t>
  </si>
  <si>
    <t xml:space="preserve">  其中：支付增值税及附加的现金</t>
  </si>
  <si>
    <t xml:space="preserve">  其中：支付印花税的现金</t>
  </si>
  <si>
    <t xml:space="preserve">  其中：支付其它税种的现金</t>
  </si>
  <si>
    <t>K商业地块售楼处</t>
    <phoneticPr fontId="135" type="noConversion"/>
  </si>
  <si>
    <t>K商业地块剩余土地</t>
    <phoneticPr fontId="135" type="noConversion"/>
  </si>
  <si>
    <t>A1住宅土地</t>
    <phoneticPr fontId="135" type="noConversion"/>
  </si>
  <si>
    <t>下花园区</t>
    <phoneticPr fontId="135" type="noConversion"/>
  </si>
  <si>
    <t>桥东区</t>
    <phoneticPr fontId="135" type="noConversion"/>
  </si>
  <si>
    <t>桥西区</t>
    <phoneticPr fontId="135" type="noConversion"/>
  </si>
  <si>
    <t>宣化区</t>
    <phoneticPr fontId="135" type="noConversion"/>
  </si>
  <si>
    <t>怀来区</t>
    <phoneticPr fontId="135" type="noConversion"/>
  </si>
  <si>
    <t>中档</t>
  </si>
  <si>
    <t>是</t>
    <phoneticPr fontId="25" type="noConversion"/>
  </si>
  <si>
    <t>否</t>
    <phoneticPr fontId="25" type="noConversion"/>
  </si>
  <si>
    <t>项目-银煌</t>
  </si>
  <si>
    <t>check</t>
  </si>
  <si>
    <t>项目-银科</t>
  </si>
  <si>
    <t>主要为城镇土地使用税，每年40万，2019年开始缴纳</t>
  </si>
  <si>
    <t>项目-银煌+银科</t>
  </si>
  <si>
    <t>CJ~CU</t>
  </si>
  <si>
    <t>CV~DG</t>
  </si>
  <si>
    <r>
      <rPr>
        <b/>
        <sz val="12"/>
        <color rgb="FFFFFFFF"/>
        <rFont val="宋体"/>
        <family val="3"/>
        <charset val="134"/>
        <scheme val="minor"/>
      </rPr>
      <t>科目名称</t>
    </r>
  </si>
  <si>
    <r>
      <rPr>
        <b/>
        <sz val="12"/>
        <color rgb="FFFFFFFF"/>
        <rFont val="宋体"/>
        <family val="3"/>
        <charset val="134"/>
        <scheme val="minor"/>
      </rPr>
      <t>预计全盘金额</t>
    </r>
  </si>
  <si>
    <r>
      <rPr>
        <b/>
        <sz val="12"/>
        <color rgb="FFFFFFFF"/>
        <rFont val="宋体"/>
        <family val="3"/>
        <charset val="134"/>
        <scheme val="minor"/>
      </rPr>
      <t>截至截止时点已支付金额</t>
    </r>
  </si>
  <si>
    <r>
      <rPr>
        <b/>
        <sz val="12"/>
        <color rgb="FFFFFFFF"/>
        <rFont val="宋体"/>
        <family val="3"/>
        <charset val="134"/>
        <scheme val="minor"/>
      </rPr>
      <t>未付金额</t>
    </r>
  </si>
  <si>
    <r>
      <rPr>
        <b/>
        <sz val="12"/>
        <color rgb="FFFFFFFF"/>
        <rFont val="宋体"/>
        <family val="3"/>
        <charset val="134"/>
        <scheme val="minor"/>
      </rPr>
      <t>未付部分支付计划</t>
    </r>
  </si>
  <si>
    <r>
      <rPr>
        <b/>
        <sz val="12"/>
        <color rgb="FFFFFFFF"/>
        <rFont val="宋体"/>
        <family val="3"/>
        <charset val="134"/>
        <scheme val="minor"/>
      </rPr>
      <t>2024年</t>
    </r>
  </si>
  <si>
    <r>
      <rPr>
        <b/>
        <sz val="12"/>
        <color rgb="FFFFFFFF"/>
        <rFont val="宋体"/>
        <family val="3"/>
        <charset val="134"/>
        <scheme val="minor"/>
      </rPr>
      <t>2025年</t>
    </r>
  </si>
  <si>
    <r>
      <rPr>
        <b/>
        <sz val="12"/>
        <color rgb="FFFFFFFF"/>
        <rFont val="华文楷体"/>
        <family val="3"/>
        <charset val="134"/>
      </rPr>
      <t>2026年</t>
    </r>
  </si>
  <si>
    <r>
      <rPr>
        <b/>
        <sz val="12"/>
        <color rgb="FFFFFFFF"/>
        <rFont val="华文楷体"/>
        <family val="3"/>
        <charset val="134"/>
      </rPr>
      <t>2027年</t>
    </r>
  </si>
  <si>
    <r>
      <rPr>
        <b/>
        <sz val="12"/>
        <color rgb="FFFFFFFF"/>
        <rFont val="华文楷体"/>
        <family val="3"/>
        <charset val="134"/>
      </rPr>
      <t>2028年</t>
    </r>
  </si>
  <si>
    <r>
      <rPr>
        <b/>
        <sz val="12"/>
        <color rgb="FFFFFFFF"/>
        <rFont val="华文楷体"/>
        <family val="3"/>
        <charset val="134"/>
      </rPr>
      <t>2029年</t>
    </r>
  </si>
  <si>
    <r>
      <rPr>
        <b/>
        <sz val="11"/>
        <color rgb="FF000000"/>
        <rFont val="宋体"/>
        <family val="3"/>
        <charset val="134"/>
        <scheme val="minor"/>
      </rPr>
      <t>开发间接费用</t>
    </r>
  </si>
  <si>
    <r>
      <rPr>
        <sz val="11"/>
        <color rgb="FF000000"/>
        <rFont val="宋体"/>
        <family val="3"/>
        <charset val="134"/>
        <scheme val="minor"/>
      </rPr>
      <t>其中：人工成本</t>
    </r>
  </si>
  <si>
    <r>
      <rPr>
        <sz val="11"/>
        <color rgb="FF000000"/>
        <rFont val="宋体"/>
        <family val="3"/>
        <charset val="134"/>
        <scheme val="minor"/>
      </rPr>
      <t>其中：非人工成本</t>
    </r>
  </si>
  <si>
    <r>
      <rPr>
        <b/>
        <sz val="11"/>
        <color rgb="FF000000"/>
        <rFont val="宋体"/>
        <family val="3"/>
        <charset val="134"/>
        <scheme val="minor"/>
      </rPr>
      <t>管理费用</t>
    </r>
  </si>
  <si>
    <r>
      <rPr>
        <b/>
        <sz val="11"/>
        <color rgb="FF000000"/>
        <rFont val="宋体"/>
        <family val="3"/>
        <charset val="134"/>
        <scheme val="minor"/>
      </rPr>
      <t>销售费用</t>
    </r>
  </si>
  <si>
    <r>
      <rPr>
        <b/>
        <sz val="11"/>
        <color rgb="FF000000"/>
        <rFont val="宋体"/>
        <family val="3"/>
        <charset val="134"/>
        <scheme val="minor"/>
      </rPr>
      <t>人工成本合计</t>
    </r>
  </si>
  <si>
    <t>科目代码</t>
  </si>
  <si>
    <t>科目名称</t>
  </si>
  <si>
    <r>
      <rPr>
        <sz val="9"/>
        <color rgb="FF000000"/>
        <rFont val="宋体"/>
        <family val="3"/>
        <charset val="134"/>
      </rPr>
      <t>银煌</t>
    </r>
    <r>
      <rPr>
        <sz val="9"/>
        <color rgb="FF000000"/>
        <rFont val="Dialog.plain"/>
        <family val="1"/>
      </rPr>
      <t>A2</t>
    </r>
  </si>
  <si>
    <t>银科</t>
  </si>
  <si>
    <r>
      <rPr>
        <sz val="9"/>
        <color rgb="FF000000"/>
        <rFont val="宋体"/>
        <family val="3"/>
        <charset val="134"/>
      </rPr>
      <t>截止</t>
    </r>
    <r>
      <rPr>
        <sz val="9"/>
        <color rgb="FF000000"/>
        <rFont val="Dialog.plain"/>
        <family val="1"/>
      </rPr>
      <t>2023</t>
    </r>
    <r>
      <rPr>
        <sz val="9"/>
        <color rgb="FF000000"/>
        <rFont val="宋体"/>
        <family val="3"/>
        <charset val="134"/>
      </rPr>
      <t>年</t>
    </r>
    <r>
      <rPr>
        <sz val="9"/>
        <color rgb="FF000000"/>
        <rFont val="Dialog.plain"/>
        <family val="1"/>
      </rPr>
      <t>12</t>
    </r>
    <r>
      <rPr>
        <sz val="9"/>
        <color rgb="FF000000"/>
        <rFont val="宋体"/>
        <family val="3"/>
        <charset val="134"/>
      </rPr>
      <t>月</t>
    </r>
  </si>
  <si>
    <t>5101</t>
  </si>
  <si>
    <t>开发间接费</t>
  </si>
  <si>
    <t>5101.01</t>
  </si>
  <si>
    <t>开发间接费_人工费用</t>
  </si>
  <si>
    <t>5101.02</t>
  </si>
  <si>
    <t>开发间接费_行政费用</t>
  </si>
  <si>
    <t>5101.04</t>
  </si>
  <si>
    <t>开发间接费_折旧及摊销</t>
  </si>
  <si>
    <t>5101.99</t>
  </si>
  <si>
    <t>开发间接费_开发间接费结转</t>
  </si>
  <si>
    <t>6601</t>
  </si>
  <si>
    <t>销售费用</t>
  </si>
  <si>
    <t>6601.01</t>
  </si>
  <si>
    <t>销售费用_人工费用</t>
  </si>
  <si>
    <t>6601.02</t>
  </si>
  <si>
    <t>销售费用_行政费用</t>
  </si>
  <si>
    <t>6601.03</t>
  </si>
  <si>
    <t>销售费用_营销推广费用</t>
  </si>
  <si>
    <t>6601.04</t>
  </si>
  <si>
    <t>销售费用_售后服务费用</t>
  </si>
  <si>
    <t>6601.05</t>
  </si>
  <si>
    <t>销售费用_折旧及摊销</t>
  </si>
  <si>
    <t>6602</t>
  </si>
  <si>
    <t>管理费用</t>
  </si>
  <si>
    <t>6602.01</t>
  </si>
  <si>
    <t>管理费用_人工费用</t>
  </si>
  <si>
    <t>6602.02</t>
  </si>
  <si>
    <t>管理费用_行政费用</t>
  </si>
  <si>
    <t>6602.04</t>
  </si>
  <si>
    <t>管理费用_折旧及摊销</t>
  </si>
  <si>
    <t>6602.10</t>
  </si>
  <si>
    <t>管理费用_HSE费用</t>
  </si>
  <si>
    <r>
      <rPr>
        <b/>
        <sz val="9"/>
        <color rgb="FFFFFFFF"/>
        <rFont val="华文楷体"/>
        <family val="3"/>
        <charset val="134"/>
      </rPr>
      <t>序号</t>
    </r>
  </si>
  <si>
    <r>
      <rPr>
        <b/>
        <sz val="9"/>
        <color rgb="FFFFFFFF"/>
        <rFont val="华文楷体"/>
        <family val="3"/>
        <charset val="134"/>
      </rPr>
      <t>项目</t>
    </r>
  </si>
  <si>
    <r>
      <rPr>
        <b/>
        <sz val="9"/>
        <color rgb="FFFFFFFF"/>
        <rFont val="华文楷体"/>
        <family val="3"/>
        <charset val="134"/>
      </rPr>
      <t>合计</t>
    </r>
  </si>
  <si>
    <r>
      <rPr>
        <b/>
        <sz val="9"/>
        <color rgb="FF000000"/>
        <rFont val="华文楷体"/>
        <family val="3"/>
        <charset val="134"/>
      </rPr>
      <t>经营活动现金流入</t>
    </r>
  </si>
  <si>
    <r>
      <rPr>
        <sz val="9"/>
        <color rgb="FF000000"/>
        <rFont val="华文楷体"/>
        <family val="3"/>
        <charset val="134"/>
      </rPr>
      <t>销售回款</t>
    </r>
  </si>
  <si>
    <r>
      <rPr>
        <sz val="9"/>
        <color rgb="FF000000"/>
        <rFont val="华文楷体"/>
        <family val="3"/>
        <charset val="134"/>
      </rPr>
      <t>税费返还</t>
    </r>
  </si>
  <si>
    <t>其他收入</t>
  </si>
  <si>
    <r>
      <rPr>
        <b/>
        <sz val="9"/>
        <color rgb="FF000000"/>
        <rFont val="华文楷体"/>
        <family val="3"/>
        <charset val="134"/>
      </rPr>
      <t>经营活动现金流出</t>
    </r>
  </si>
  <si>
    <r>
      <rPr>
        <sz val="9"/>
        <color rgb="FF000000"/>
        <rFont val="华文楷体"/>
        <family val="3"/>
        <charset val="134"/>
      </rPr>
      <t>土地款</t>
    </r>
  </si>
  <si>
    <r>
      <rPr>
        <sz val="9"/>
        <color rgb="FF000000"/>
        <rFont val="华文楷体"/>
        <family val="3"/>
        <charset val="134"/>
      </rPr>
      <t>建造成本</t>
    </r>
  </si>
  <si>
    <r>
      <rPr>
        <sz val="9"/>
        <color rgb="FF000000"/>
        <rFont val="华文楷体"/>
        <family val="3"/>
        <charset val="134"/>
      </rPr>
      <t>管理费用</t>
    </r>
  </si>
  <si>
    <r>
      <rPr>
        <sz val="9"/>
        <color rgb="FF000000"/>
        <rFont val="华文楷体"/>
        <family val="3"/>
        <charset val="134"/>
      </rPr>
      <t>销售费用</t>
    </r>
  </si>
  <si>
    <r>
      <rPr>
        <sz val="9"/>
        <color rgb="FF000000"/>
        <rFont val="华文楷体"/>
        <family val="3"/>
        <charset val="134"/>
      </rPr>
      <t>人工成本</t>
    </r>
  </si>
  <si>
    <r>
      <rPr>
        <sz val="9"/>
        <color rgb="FF000000"/>
        <rFont val="华文楷体"/>
        <family val="3"/>
        <charset val="134"/>
      </rPr>
      <t>支付的各种税费</t>
    </r>
  </si>
  <si>
    <t>其他支出</t>
  </si>
  <si>
    <r>
      <rPr>
        <b/>
        <sz val="9"/>
        <color rgb="FF000000"/>
        <rFont val="华文楷体"/>
        <family val="3"/>
        <charset val="134"/>
      </rPr>
      <t>经营性净现金流量</t>
    </r>
  </si>
  <si>
    <r>
      <rPr>
        <b/>
        <sz val="9"/>
        <color rgb="FF000000"/>
        <rFont val="华文楷体"/>
        <family val="3"/>
        <charset val="134"/>
      </rPr>
      <t>累计经营性净现金流量</t>
    </r>
  </si>
  <si>
    <t>A2地块（设定现房）：住宅建筑面积85571.08平方米，总价约73000万元，单价约8550元；商业住宅建筑面积625.88平方米，总价约460万元</t>
    <phoneticPr fontId="135" type="noConversion"/>
  </si>
  <si>
    <t>A1住宅地块（土地）：土地面积103091平方米，建筑面积195873.11平方米，总价约19000-19500万元</t>
    <phoneticPr fontId="135" type="noConversion"/>
  </si>
  <si>
    <t>K商业地块（剩余土地）：分摊土地面积79184.22平方米，建筑面积205878.96平方米，总价约7400万元</t>
    <phoneticPr fontId="135" type="noConversion"/>
  </si>
  <si>
    <t>K商业地块（售楼处设定现房）：分摊土地面积882.16平方米，建筑面积2293.62平方米，总价约1600万元</t>
    <phoneticPr fontId="135" type="noConversion"/>
  </si>
  <si>
    <t>毛坯7200-7500，精装8200</t>
    <phoneticPr fontId="135" type="noConversion"/>
  </si>
  <si>
    <r>
      <t>6000</t>
    </r>
    <r>
      <rPr>
        <sz val="11"/>
        <color theme="1"/>
        <rFont val="宋体"/>
        <family val="3"/>
        <charset val="134"/>
        <scheme val="minor"/>
      </rPr>
      <t>-6200</t>
    </r>
    <phoneticPr fontId="135" type="noConversion"/>
  </si>
  <si>
    <t>毛坯10000，精装12000</t>
    <phoneticPr fontId="135" type="noConversion"/>
  </si>
  <si>
    <t>都是地上车位，免费使用，仅1栋楼有地下车库，管理费600/年(50/月），物业费1.3</t>
    <phoneticPr fontId="135" type="noConversion"/>
  </si>
  <si>
    <r>
      <t>地下车库是管理费还是签协议销售尚未确定，物业费2</t>
    </r>
    <r>
      <rPr>
        <sz val="11"/>
        <color theme="1"/>
        <rFont val="宋体"/>
        <family val="3"/>
        <charset val="134"/>
        <scheme val="minor"/>
      </rPr>
      <t>.8,2024年底交房，小区环境好</t>
    </r>
    <phoneticPr fontId="135" type="noConversion"/>
  </si>
  <si>
    <t>小高层，新房，期房</t>
    <phoneticPr fontId="135" type="noConversion"/>
  </si>
  <si>
    <t>地下车位赠送，管理费60/月，物业费2.8</t>
    <phoneticPr fontId="135" type="noConversion"/>
  </si>
  <si>
    <t>该区域车位都是使用权，无产权，管理费80-120/月，物业费2.5，18034030909田销售</t>
    <phoneticPr fontId="135" type="noConversion"/>
  </si>
  <si>
    <t>品牌</t>
  </si>
  <si>
    <t>品牌</t>
    <phoneticPr fontId="25" type="noConversion"/>
  </si>
  <si>
    <t>中高档</t>
  </si>
  <si>
    <t>车位情况</t>
    <phoneticPr fontId="25" type="noConversion"/>
  </si>
  <si>
    <t>地下车库仅有使用权，管理费60/月</t>
    <phoneticPr fontId="25" type="noConversion"/>
  </si>
  <si>
    <r>
      <rPr>
        <sz val="11"/>
        <color indexed="8"/>
        <rFont val="宋体"/>
        <family val="3"/>
        <charset val="134"/>
      </rPr>
      <t>地下车库仅有使用权，管理费</t>
    </r>
    <r>
      <rPr>
        <sz val="11"/>
        <color indexed="8"/>
        <rFont val="Arial"/>
        <family val="2"/>
      </rPr>
      <t>80-120/</t>
    </r>
    <r>
      <rPr>
        <sz val="11"/>
        <color indexed="8"/>
        <rFont val="宋体"/>
        <family val="3"/>
        <charset val="134"/>
      </rPr>
      <t>月</t>
    </r>
    <phoneticPr fontId="25" type="noConversion"/>
  </si>
  <si>
    <r>
      <rPr>
        <sz val="11"/>
        <color indexed="8"/>
        <rFont val="宋体"/>
        <family val="3"/>
        <charset val="134"/>
      </rPr>
      <t>都是地上车位，免费使用，仅</t>
    </r>
    <r>
      <rPr>
        <sz val="11"/>
        <color indexed="8"/>
        <rFont val="Arial"/>
        <family val="2"/>
      </rPr>
      <t>1</t>
    </r>
    <r>
      <rPr>
        <sz val="11"/>
        <color indexed="8"/>
        <rFont val="宋体"/>
        <family val="3"/>
        <charset val="134"/>
      </rPr>
      <t>栋楼有地下车库，管理费</t>
    </r>
    <r>
      <rPr>
        <sz val="11"/>
        <color indexed="8"/>
        <rFont val="Arial"/>
        <family val="2"/>
      </rPr>
      <t>600/</t>
    </r>
    <r>
      <rPr>
        <sz val="11"/>
        <color indexed="8"/>
        <rFont val="宋体"/>
        <family val="3"/>
        <charset val="134"/>
      </rPr>
      <t>年</t>
    </r>
    <r>
      <rPr>
        <sz val="11"/>
        <color indexed="8"/>
        <rFont val="Arial"/>
        <family val="2"/>
      </rPr>
      <t>(50/</t>
    </r>
    <r>
      <rPr>
        <sz val="11"/>
        <color indexed="8"/>
        <rFont val="宋体"/>
        <family val="3"/>
        <charset val="134"/>
      </rPr>
      <t>月）</t>
    </r>
    <phoneticPr fontId="25" type="noConversion"/>
  </si>
  <si>
    <t>地下车库营销模式未定</t>
    <phoneticPr fontId="25" type="noConversion"/>
  </si>
  <si>
    <t>加权平均</t>
  </si>
  <si>
    <t>现房</t>
    <phoneticPr fontId="25" type="noConversion"/>
  </si>
  <si>
    <t>期房</t>
    <phoneticPr fontId="25" type="noConversion"/>
  </si>
  <si>
    <t>物业费2.8</t>
    <phoneticPr fontId="25" type="noConversion"/>
  </si>
  <si>
    <r>
      <rPr>
        <sz val="11"/>
        <rFont val="宋体"/>
        <family val="3"/>
        <charset val="134"/>
      </rPr>
      <t>物业费</t>
    </r>
    <r>
      <rPr>
        <sz val="11"/>
        <rFont val="Arial"/>
        <family val="2"/>
      </rPr>
      <t>2.5</t>
    </r>
    <phoneticPr fontId="25" type="noConversion"/>
  </si>
  <si>
    <r>
      <rPr>
        <sz val="11"/>
        <rFont val="宋体"/>
        <family val="3"/>
        <charset val="134"/>
      </rPr>
      <t>物业费</t>
    </r>
    <r>
      <rPr>
        <sz val="11"/>
        <rFont val="Arial"/>
        <family val="2"/>
      </rPr>
      <t>1.3</t>
    </r>
    <phoneticPr fontId="25" type="noConversion"/>
  </si>
  <si>
    <r>
      <rPr>
        <sz val="11"/>
        <rFont val="宋体"/>
        <family val="3"/>
        <charset val="134"/>
      </rPr>
      <t>物业费</t>
    </r>
    <r>
      <rPr>
        <sz val="11"/>
        <rFont val="Arial"/>
        <family val="2"/>
      </rPr>
      <t>2.8</t>
    </r>
    <phoneticPr fontId="25" type="noConversion"/>
  </si>
  <si>
    <t>三通</t>
  </si>
  <si>
    <t>小高层、高层</t>
  </si>
  <si>
    <t>小高层、高层</t>
    <phoneticPr fontId="25" type="noConversion"/>
  </si>
  <si>
    <t>普通装修</t>
  </si>
  <si>
    <t>高层精装6500-7200</t>
    <phoneticPr fontId="25" type="noConversion"/>
  </si>
  <si>
    <t>高层毛坯6200</t>
    <phoneticPr fontId="25" type="noConversion"/>
  </si>
  <si>
    <t>高层毛坯10000</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</si>
</sst>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000;\-#,##0.0000"/>
    <numFmt numFmtId="197" formatCode="[$-10804]#,##0.00;\-#,##0.00"/>
    <numFmt numFmtId="198" formatCode="[$-10804]#,##0.00"/>
    <numFmt numFmtId="199" formatCode="[$-10804]yyyy/m/d"/>
    <numFmt numFmtId="200" formatCode="#,##0_ "/>
    <numFmt numFmtId="201" formatCode="#,##0.00_ "/>
  </numFmts>
  <fonts count="29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95"/>
      <color indexed="8"/>
      <name val="宋体"/>
      <family val="3"/>
      <charset val="134"/>
    </font>
    <font>
      <b/>
      <sz val="9"/>
      <color indexed="8"/>
      <name val="宋体"/>
      <family val="3"/>
      <charset val="134"/>
    </font>
    <font>
      <b/>
      <sz val="9"/>
      <color rgb="FFFF0000"/>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
      <u/>
      <sz val="11"/>
      <color theme="10"/>
      <name val="宋体"/>
      <family val="3"/>
      <charset val="134"/>
      <scheme val="minor"/>
    </font>
    <font>
      <sz val="11"/>
      <color indexed="8"/>
      <name val="仿宋_GB2312"/>
      <family val="3"/>
      <charset val="134"/>
    </font>
    <font>
      <b/>
      <sz val="11"/>
      <color rgb="FFFFFFFF"/>
      <name val="华文楷体"/>
      <family val="3"/>
      <charset val="134"/>
    </font>
    <font>
      <sz val="11"/>
      <color rgb="FF000000"/>
      <name val="华文楷体"/>
      <family val="3"/>
      <charset val="134"/>
    </font>
    <font>
      <b/>
      <sz val="12"/>
      <color rgb="FFFFFFFF"/>
      <name val="华文楷体"/>
      <family val="3"/>
      <charset val="134"/>
    </font>
    <font>
      <b/>
      <sz val="8"/>
      <color rgb="FFFFFFFF"/>
      <name val="华文楷体"/>
      <family val="3"/>
      <charset val="134"/>
    </font>
    <font>
      <sz val="10"/>
      <color rgb="FF000000"/>
      <name val="华文楷体"/>
      <family val="3"/>
      <charset val="134"/>
    </font>
    <font>
      <b/>
      <sz val="11"/>
      <color rgb="FFFFFFFF"/>
      <name val="宋体"/>
      <family val="3"/>
      <charset val="134"/>
      <scheme val="minor"/>
    </font>
    <font>
      <sz val="10.5"/>
      <color rgb="FF333333"/>
      <name val="Verdana"/>
      <family val="2"/>
    </font>
    <font>
      <b/>
      <sz val="11"/>
      <color rgb="FF000000"/>
      <name val="宋体"/>
      <family val="3"/>
      <charset val="134"/>
      <scheme val="minor"/>
    </font>
    <font>
      <b/>
      <sz val="11"/>
      <color rgb="FF000000"/>
      <name val="华文楷体"/>
      <family val="3"/>
      <charset val="134"/>
    </font>
    <font>
      <sz val="11"/>
      <color rgb="FF000000"/>
      <name val="宋体"/>
      <family val="3"/>
      <charset val="134"/>
      <scheme val="minor"/>
    </font>
    <font>
      <sz val="10.5"/>
      <color rgb="FF222222"/>
      <name val="Verdana"/>
      <family val="2"/>
    </font>
    <font>
      <b/>
      <sz val="10"/>
      <color rgb="FF000000"/>
      <name val="宋体"/>
      <family val="3"/>
      <charset val="134"/>
    </font>
    <font>
      <b/>
      <sz val="12"/>
      <color rgb="FFFFFFFF"/>
      <name val="宋体"/>
      <family val="3"/>
      <charset val="134"/>
      <scheme val="minor"/>
    </font>
    <font>
      <sz val="9"/>
      <color indexed="8"/>
      <name val="Dialog.plain"/>
      <family val="1"/>
    </font>
    <font>
      <sz val="9"/>
      <color rgb="FF000000"/>
      <name val="宋体"/>
      <family val="3"/>
      <charset val="134"/>
    </font>
    <font>
      <sz val="9"/>
      <color rgb="FF000000"/>
      <name val="Dialog.plain"/>
      <family val="1"/>
    </font>
    <font>
      <b/>
      <sz val="9"/>
      <color rgb="FFFFFFFF"/>
      <name val="华文楷体"/>
      <family val="3"/>
      <charset val="134"/>
    </font>
    <font>
      <b/>
      <sz val="9"/>
      <color rgb="FF000000"/>
      <name val="华文楷体"/>
      <family val="3"/>
      <charset val="134"/>
    </font>
    <font>
      <sz val="9"/>
      <color rgb="FF000000"/>
      <name val="华文楷体"/>
      <family val="3"/>
      <charset val="134"/>
    </font>
    <font>
      <sz val="11"/>
      <color indexed="8"/>
      <name val="Arial"/>
      <family val="3"/>
      <charset val="134"/>
    </font>
    <font>
      <sz val="11"/>
      <name val="Arial"/>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9"/>
        <bgColor indexed="0"/>
      </patternFill>
    </fill>
    <fill>
      <patternFill patternType="solid">
        <fgColor rgb="FFAD7C59"/>
        <bgColor indexed="64"/>
      </patternFill>
    </fill>
    <fill>
      <patternFill patternType="solid">
        <fgColor rgb="FFF1ECEA"/>
        <bgColor indexed="64"/>
      </patternFill>
    </fill>
    <fill>
      <patternFill patternType="solid">
        <fgColor rgb="FFE0EAF7"/>
        <bgColor indexed="64"/>
      </patternFill>
    </fill>
    <fill>
      <patternFill patternType="solid">
        <fgColor rgb="FFF9F9FD"/>
        <bgColor indexed="64"/>
      </patternFill>
    </fill>
    <fill>
      <patternFill patternType="solid">
        <fgColor rgb="FF9B6E4E"/>
        <bgColor indexed="64"/>
      </patternFill>
    </fill>
    <fill>
      <patternFill patternType="solid">
        <fgColor rgb="FFFFFFFF"/>
        <bgColor rgb="FFFFFFFF"/>
      </patternFill>
    </fill>
    <fill>
      <patternFill patternType="solid">
        <fgColor rgb="FFDDEBF7"/>
        <bgColor rgb="FFDDEBF7"/>
      </patternFill>
    </fill>
    <fill>
      <patternFill patternType="solid">
        <fgColor indexed="42"/>
        <bgColor indexed="8"/>
      </patternFill>
    </fill>
    <fill>
      <patternFill patternType="solid">
        <fgColor indexed="26"/>
        <bgColor indexed="8"/>
      </patternFill>
    </fill>
    <fill>
      <patternFill patternType="solid">
        <fgColor rgb="FFB98E70"/>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000000"/>
      </left>
      <right style="medium">
        <color rgb="FF000000"/>
      </right>
      <top style="medium">
        <color rgb="FF000000"/>
      </top>
      <bottom style="medium">
        <color rgb="FF000000"/>
      </bottom>
      <diagonal/>
    </border>
    <border>
      <left/>
      <right/>
      <top/>
      <bottom style="medium">
        <color rgb="FFE5E5E5"/>
      </bottom>
      <diagonal/>
    </border>
    <border>
      <left/>
      <right style="medium">
        <color rgb="FFE6E6E6"/>
      </right>
      <top/>
      <bottom style="medium">
        <color rgb="FFE5E5E5"/>
      </bottom>
      <diagonal/>
    </border>
    <border>
      <left style="thin">
        <color rgb="FF000000"/>
      </left>
      <right style="thin">
        <color rgb="FF000000"/>
      </right>
      <top style="thin">
        <color rgb="FF000000"/>
      </top>
      <bottom style="thin">
        <color rgb="FF000000"/>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54" fillId="0" borderId="0"/>
    <xf numFmtId="0" fontId="276" fillId="0" borderId="0" applyNumberFormat="0" applyFill="0" applyBorder="0" applyAlignment="0" applyProtection="0">
      <alignment vertical="center"/>
    </xf>
    <xf numFmtId="9" fontId="96" fillId="0" borderId="0" applyFont="0" applyFill="0" applyBorder="0" applyAlignment="0" applyProtection="0">
      <alignment vertical="center"/>
    </xf>
    <xf numFmtId="3" fontId="37" fillId="0" borderId="177"/>
    <xf numFmtId="43" fontId="96" fillId="0" borderId="0" applyFont="0" applyFill="0" applyBorder="0" applyAlignment="0" applyProtection="0">
      <alignment vertical="center"/>
    </xf>
  </cellStyleXfs>
  <cellXfs count="36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0" fontId="0" fillId="0" borderId="0" xfId="0" applyNumberFormat="1" applyAlignment="1">
      <alignment horizontal="left" vertical="center"/>
    </xf>
    <xf numFmtId="14" fontId="0" fillId="0" borderId="0" xfId="0" applyNumberFormat="1" applyAlignment="1">
      <alignment horizontal="left" vertical="center"/>
    </xf>
    <xf numFmtId="14" fontId="96" fillId="0" borderId="0" xfId="0" applyNumberFormat="1" applyFont="1" applyAlignment="1">
      <alignment horizontal="left" vertical="center"/>
    </xf>
    <xf numFmtId="0" fontId="54" fillId="0" borderId="0" xfId="19" applyAlignment="1">
      <alignment horizontal="left"/>
    </xf>
    <xf numFmtId="0" fontId="271" fillId="22" borderId="176" xfId="19" applyFont="1" applyFill="1" applyBorder="1" applyAlignment="1" applyProtection="1">
      <alignment horizontal="left" vertical="center" wrapText="1"/>
      <protection locked="0"/>
    </xf>
    <xf numFmtId="0" fontId="222" fillId="0" borderId="176" xfId="19" applyFont="1" applyBorder="1" applyAlignment="1" applyProtection="1">
      <alignment horizontal="left" vertical="center" wrapText="1"/>
      <protection locked="0"/>
    </xf>
    <xf numFmtId="196" fontId="78" fillId="0" borderId="176" xfId="19" applyNumberFormat="1" applyFont="1" applyBorder="1" applyAlignment="1" applyProtection="1">
      <alignment horizontal="left" vertical="center" wrapText="1"/>
      <protection locked="0"/>
    </xf>
    <xf numFmtId="197" fontId="78" fillId="0" borderId="176" xfId="19" applyNumberFormat="1" applyFont="1" applyBorder="1" applyAlignment="1" applyProtection="1">
      <alignment horizontal="left" vertical="center" wrapText="1"/>
      <protection locked="0"/>
    </xf>
    <xf numFmtId="198" fontId="78" fillId="0" borderId="176" xfId="19" applyNumberFormat="1" applyFont="1" applyBorder="1" applyAlignment="1" applyProtection="1">
      <alignment horizontal="left" vertical="center" wrapText="1"/>
      <protection locked="0"/>
    </xf>
    <xf numFmtId="0" fontId="78" fillId="0" borderId="176" xfId="19" applyFont="1" applyBorder="1" applyAlignment="1" applyProtection="1">
      <alignment horizontal="left" vertical="center" wrapText="1"/>
      <protection locked="0"/>
    </xf>
    <xf numFmtId="199" fontId="222" fillId="0" borderId="176" xfId="19" applyNumberFormat="1" applyFont="1" applyBorder="1" applyAlignment="1" applyProtection="1">
      <alignment horizontal="left" vertical="center" wrapText="1"/>
      <protection locked="0"/>
    </xf>
    <xf numFmtId="196" fontId="80" fillId="22" borderId="176" xfId="19" applyNumberFormat="1" applyFont="1" applyFill="1" applyBorder="1" applyAlignment="1" applyProtection="1">
      <alignment horizontal="left" vertical="center" wrapText="1"/>
      <protection locked="0"/>
    </xf>
    <xf numFmtId="0" fontId="80" fillId="22" borderId="176" xfId="19" applyFont="1" applyFill="1" applyBorder="1" applyAlignment="1" applyProtection="1">
      <alignment horizontal="left" vertical="center" wrapText="1"/>
      <protection locked="0"/>
    </xf>
    <xf numFmtId="197" fontId="80" fillId="22" borderId="176" xfId="19" applyNumberFormat="1" applyFont="1" applyFill="1" applyBorder="1" applyAlignment="1" applyProtection="1">
      <alignment horizontal="left" vertical="center" wrapText="1"/>
      <protection locked="0"/>
    </xf>
    <xf numFmtId="198" fontId="80" fillId="22" borderId="176" xfId="19" applyNumberFormat="1" applyFont="1" applyFill="1" applyBorder="1" applyAlignment="1" applyProtection="1">
      <alignment horizontal="left" vertical="center" wrapText="1"/>
      <protection locked="0"/>
    </xf>
    <xf numFmtId="0" fontId="114" fillId="0" borderId="0" xfId="19" applyFont="1" applyAlignment="1">
      <alignment horizontal="left"/>
    </xf>
    <xf numFmtId="0" fontId="272" fillId="22" borderId="176" xfId="19" applyFont="1" applyFill="1" applyBorder="1" applyAlignment="1" applyProtection="1">
      <alignment horizontal="left" vertical="center" wrapText="1"/>
      <protection locked="0"/>
    </xf>
    <xf numFmtId="196" fontId="130" fillId="0" borderId="176" xfId="19" applyNumberFormat="1" applyFont="1" applyBorder="1" applyAlignment="1" applyProtection="1">
      <alignment horizontal="left" vertical="center" wrapText="1"/>
      <protection locked="0"/>
    </xf>
    <xf numFmtId="196" fontId="139" fillId="22" borderId="176" xfId="19" applyNumberFormat="1" applyFont="1" applyFill="1" applyBorder="1" applyAlignment="1" applyProtection="1">
      <alignment horizontal="left" vertical="center" wrapText="1"/>
      <protection locked="0"/>
    </xf>
    <xf numFmtId="0" fontId="96" fillId="0" borderId="0" xfId="0" applyFont="1" applyAlignment="1">
      <alignment horizontal="left" vertical="center" wrapText="1"/>
    </xf>
    <xf numFmtId="196" fontId="114" fillId="0" borderId="0" xfId="19" applyNumberFormat="1" applyFont="1" applyAlignment="1">
      <alignment horizontal="left"/>
    </xf>
    <xf numFmtId="0" fontId="273" fillId="0" borderId="0" xfId="0" applyFont="1" applyAlignment="1">
      <alignment horizontal="left" vertical="center" wrapText="1"/>
    </xf>
    <xf numFmtId="0" fontId="274" fillId="0" borderId="0" xfId="0" applyFont="1" applyAlignment="1">
      <alignment horizontal="left" vertical="center" wrapText="1"/>
    </xf>
    <xf numFmtId="0" fontId="108" fillId="0" borderId="0" xfId="0" applyFont="1" applyAlignment="1">
      <alignment horizontal="left" vertical="center" wrapText="1"/>
    </xf>
    <xf numFmtId="0" fontId="273" fillId="0" borderId="0" xfId="0" applyFont="1" applyAlignment="1">
      <alignment horizontal="left" vertical="center"/>
    </xf>
    <xf numFmtId="14" fontId="108" fillId="0" borderId="0" xfId="0" applyNumberFormat="1" applyFont="1" applyAlignment="1">
      <alignment horizontal="left" vertical="center"/>
    </xf>
    <xf numFmtId="0" fontId="275" fillId="0" borderId="0" xfId="0" applyFont="1" applyAlignment="1">
      <alignment horizontal="left" vertical="center"/>
    </xf>
    <xf numFmtId="0" fontId="273" fillId="5" borderId="0" xfId="0" applyFont="1" applyFill="1" applyAlignment="1">
      <alignment horizontal="left" vertical="center"/>
    </xf>
    <xf numFmtId="14" fontId="108" fillId="5" borderId="0" xfId="0" applyNumberFormat="1" applyFont="1" applyFill="1" applyAlignment="1">
      <alignment horizontal="left" vertical="center"/>
    </xf>
    <xf numFmtId="0" fontId="275" fillId="5" borderId="0" xfId="0" applyFont="1" applyFill="1" applyAlignment="1">
      <alignment horizontal="left" vertical="center"/>
    </xf>
    <xf numFmtId="0" fontId="108" fillId="5" borderId="0" xfId="0" applyFont="1" applyFill="1" applyAlignment="1">
      <alignment horizontal="left" vertical="center"/>
    </xf>
    <xf numFmtId="14" fontId="275" fillId="0" borderId="0" xfId="0" applyNumberFormat="1" applyFont="1" applyAlignment="1">
      <alignment horizontal="left" vertical="center"/>
    </xf>
    <xf numFmtId="0" fontId="276" fillId="0" borderId="0" xfId="20" applyNumberFormat="1" applyAlignment="1">
      <alignment horizontal="left" vertical="center"/>
    </xf>
    <xf numFmtId="0" fontId="97" fillId="0" borderId="0" xfId="0" applyFont="1" applyAlignment="1">
      <alignment horizontal="left" vertical="center"/>
    </xf>
    <xf numFmtId="0" fontId="78" fillId="7" borderId="60"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0" xfId="10">
      <alignment vertical="center"/>
    </xf>
    <xf numFmtId="10" fontId="96" fillId="0" borderId="0" xfId="21" applyNumberFormat="1">
      <alignment vertical="center"/>
    </xf>
    <xf numFmtId="200" fontId="96" fillId="0" borderId="0" xfId="10" applyNumberFormat="1" applyAlignment="1">
      <alignment horizontal="center" vertical="center"/>
    </xf>
    <xf numFmtId="0" fontId="271" fillId="22" borderId="176" xfId="10" applyFont="1" applyFill="1" applyBorder="1" applyAlignment="1" applyProtection="1">
      <alignment horizontal="center" vertical="center" wrapText="1" readingOrder="1"/>
      <protection locked="0"/>
    </xf>
    <xf numFmtId="200" fontId="271" fillId="22" borderId="176" xfId="10" applyNumberFormat="1" applyFont="1" applyFill="1" applyBorder="1" applyAlignment="1" applyProtection="1">
      <alignment horizontal="center" vertical="center" wrapText="1" readingOrder="1"/>
      <protection locked="0"/>
    </xf>
    <xf numFmtId="0" fontId="222" fillId="0" borderId="176" xfId="10" applyFont="1" applyBorder="1" applyAlignment="1" applyProtection="1">
      <alignment horizontal="left" vertical="center" wrapText="1" readingOrder="1"/>
      <protection locked="0"/>
    </xf>
    <xf numFmtId="200" fontId="78" fillId="0" borderId="176" xfId="10" applyNumberFormat="1" applyFont="1" applyBorder="1" applyAlignment="1" applyProtection="1">
      <alignment horizontal="center" vertical="center" wrapText="1" readingOrder="1"/>
      <protection locked="0"/>
    </xf>
    <xf numFmtId="199" fontId="222" fillId="0" borderId="176" xfId="10" applyNumberFormat="1" applyFont="1" applyBorder="1" applyAlignment="1" applyProtection="1">
      <alignment horizontal="center" vertical="center" wrapText="1" readingOrder="1"/>
      <protection locked="0"/>
    </xf>
    <xf numFmtId="0" fontId="222" fillId="0" borderId="176" xfId="10" applyFont="1" applyBorder="1" applyAlignment="1" applyProtection="1">
      <alignment horizontal="center" vertical="center" wrapText="1" readingOrder="1"/>
      <protection locked="0"/>
    </xf>
    <xf numFmtId="0" fontId="277"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201" fontId="78" fillId="0" borderId="176" xfId="10" applyNumberFormat="1" applyFont="1" applyBorder="1" applyAlignment="1" applyProtection="1">
      <alignment horizontal="center" vertical="center" wrapText="1" readingOrder="1"/>
      <protection locked="0"/>
    </xf>
    <xf numFmtId="0" fontId="0" fillId="5" borderId="0" xfId="0" applyFill="1" applyAlignment="1">
      <alignment horizontal="left" vertical="center"/>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96" fillId="0" borderId="0" xfId="10" applyAlignment="1">
      <alignment horizontal="center" vertical="center"/>
    </xf>
    <xf numFmtId="0" fontId="278" fillId="23" borderId="179" xfId="10" applyFont="1" applyFill="1" applyBorder="1" applyAlignment="1">
      <alignment horizontal="center" vertical="center" wrapText="1"/>
    </xf>
    <xf numFmtId="0" fontId="96" fillId="23" borderId="180" xfId="10" applyFill="1" applyBorder="1" applyAlignment="1">
      <alignment horizontal="center" vertical="center"/>
    </xf>
    <xf numFmtId="0" fontId="278" fillId="23" borderId="181" xfId="10" applyFont="1" applyFill="1" applyBorder="1" applyAlignment="1">
      <alignment vertical="center" wrapText="1"/>
    </xf>
    <xf numFmtId="0" fontId="278" fillId="23" borderId="181" xfId="10" applyFont="1" applyFill="1" applyBorder="1" applyAlignment="1">
      <alignment horizontal="center" vertical="center" wrapText="1"/>
    </xf>
    <xf numFmtId="4" fontId="279" fillId="24" borderId="178" xfId="10" applyNumberFormat="1" applyFont="1" applyFill="1" applyBorder="1" applyAlignment="1">
      <alignment vertical="center" wrapText="1"/>
    </xf>
    <xf numFmtId="4" fontId="279" fillId="24" borderId="178" xfId="10" applyNumberFormat="1" applyFont="1" applyFill="1" applyBorder="1" applyAlignment="1">
      <alignment horizontal="center" vertical="center" wrapText="1"/>
    </xf>
    <xf numFmtId="0" fontId="279" fillId="24" borderId="178" xfId="10" applyFont="1" applyFill="1" applyBorder="1" applyAlignment="1">
      <alignment horizontal="center" vertical="center" wrapText="1"/>
    </xf>
    <xf numFmtId="201" fontId="279" fillId="24" borderId="178" xfId="10" applyNumberFormat="1" applyFont="1" applyFill="1" applyBorder="1" applyAlignment="1">
      <alignment horizontal="center" vertical="center" wrapText="1"/>
    </xf>
    <xf numFmtId="201" fontId="279" fillId="21" borderId="178" xfId="10" applyNumberFormat="1" applyFont="1" applyFill="1" applyBorder="1" applyAlignment="1">
      <alignment horizontal="center" vertical="center" wrapText="1"/>
    </xf>
    <xf numFmtId="4" fontId="279" fillId="24" borderId="0" xfId="10" applyNumberFormat="1" applyFont="1" applyFill="1" applyAlignment="1">
      <alignment vertical="center" wrapText="1"/>
    </xf>
    <xf numFmtId="4" fontId="279" fillId="21" borderId="178" xfId="10" applyNumberFormat="1" applyFont="1" applyFill="1" applyBorder="1" applyAlignment="1">
      <alignment horizontal="center" vertical="center" wrapText="1"/>
    </xf>
    <xf numFmtId="0" fontId="280" fillId="23" borderId="178" xfId="10" applyFont="1" applyFill="1" applyBorder="1" applyAlignment="1">
      <alignment vertical="center" wrapText="1"/>
    </xf>
    <xf numFmtId="0" fontId="281" fillId="23" borderId="178" xfId="10" applyFont="1" applyFill="1" applyBorder="1" applyAlignment="1">
      <alignment horizontal="center" vertical="center" wrapText="1"/>
    </xf>
    <xf numFmtId="201" fontId="282" fillId="24" borderId="178" xfId="10" applyNumberFormat="1" applyFont="1" applyFill="1" applyBorder="1" applyAlignment="1">
      <alignment horizontal="center" vertical="center" wrapText="1"/>
    </xf>
    <xf numFmtId="0" fontId="279" fillId="23" borderId="178" xfId="10" applyFont="1" applyFill="1" applyBorder="1" applyAlignment="1">
      <alignment vertical="center" wrapText="1"/>
    </xf>
    <xf numFmtId="0" fontId="279" fillId="23" borderId="178" xfId="10" applyFont="1" applyFill="1" applyBorder="1" applyAlignment="1">
      <alignment horizontal="center" vertical="center" wrapText="1"/>
    </xf>
    <xf numFmtId="0" fontId="283" fillId="23" borderId="182" xfId="10" applyFont="1" applyFill="1" applyBorder="1" applyAlignment="1">
      <alignment horizontal="center" vertical="center" wrapText="1"/>
    </xf>
    <xf numFmtId="0" fontId="284" fillId="0" borderId="0" xfId="10" applyFont="1">
      <alignment vertical="center"/>
    </xf>
    <xf numFmtId="0" fontId="285" fillId="12" borderId="182" xfId="10" applyFont="1" applyFill="1" applyBorder="1" applyAlignment="1">
      <alignment vertical="center" wrapText="1"/>
    </xf>
    <xf numFmtId="0" fontId="286" fillId="12" borderId="182" xfId="10" applyFont="1" applyFill="1" applyBorder="1" applyAlignment="1">
      <alignment vertical="center" wrapText="1"/>
    </xf>
    <xf numFmtId="4" fontId="279" fillId="12" borderId="182" xfId="10" applyNumberFormat="1" applyFont="1" applyFill="1" applyBorder="1" applyAlignment="1">
      <alignment horizontal="center" vertical="center" wrapText="1"/>
    </xf>
    <xf numFmtId="200" fontId="279" fillId="12" borderId="182" xfId="10" applyNumberFormat="1" applyFont="1" applyFill="1" applyBorder="1" applyAlignment="1">
      <alignment vertical="center" wrapText="1"/>
    </xf>
    <xf numFmtId="0" fontId="287" fillId="12" borderId="182" xfId="10" applyFont="1" applyFill="1" applyBorder="1" applyAlignment="1">
      <alignment vertical="center" wrapText="1"/>
    </xf>
    <xf numFmtId="0" fontId="279" fillId="12" borderId="182" xfId="10" applyFont="1" applyFill="1" applyBorder="1" applyAlignment="1">
      <alignment vertical="center" wrapText="1"/>
    </xf>
    <xf numFmtId="0" fontId="279" fillId="12" borderId="182" xfId="10" applyFont="1" applyFill="1" applyBorder="1" applyAlignment="1">
      <alignment horizontal="center" vertical="center" wrapText="1"/>
    </xf>
    <xf numFmtId="201" fontId="279" fillId="12" borderId="182" xfId="10" applyNumberFormat="1" applyFont="1" applyFill="1" applyBorder="1" applyAlignment="1">
      <alignment vertical="center" wrapText="1"/>
    </xf>
    <xf numFmtId="0" fontId="288" fillId="25" borderId="183" xfId="10" applyFont="1" applyFill="1" applyBorder="1" applyAlignment="1">
      <alignment horizontal="left" vertical="top"/>
    </xf>
    <xf numFmtId="0" fontId="96" fillId="25" borderId="184" xfId="10" applyFill="1" applyBorder="1">
      <alignment vertical="center"/>
    </xf>
    <xf numFmtId="0" fontId="288" fillId="12" borderId="183" xfId="10" applyFont="1" applyFill="1" applyBorder="1" applyAlignment="1">
      <alignment horizontal="left" vertical="top"/>
    </xf>
    <xf numFmtId="0" fontId="96" fillId="12" borderId="184" xfId="10" applyFill="1" applyBorder="1">
      <alignment vertical="center"/>
    </xf>
    <xf numFmtId="0" fontId="288" fillId="26" borderId="183" xfId="10" applyFont="1" applyFill="1" applyBorder="1" applyAlignment="1">
      <alignment horizontal="left" vertical="top"/>
    </xf>
    <xf numFmtId="0" fontId="96" fillId="12" borderId="0" xfId="10" applyFill="1">
      <alignment vertical="center"/>
    </xf>
    <xf numFmtId="0" fontId="278" fillId="27" borderId="178" xfId="10" applyFont="1" applyFill="1" applyBorder="1" applyAlignment="1">
      <alignment vertical="center" wrapText="1"/>
    </xf>
    <xf numFmtId="0" fontId="286" fillId="24" borderId="178" xfId="10" applyFont="1" applyFill="1" applyBorder="1" applyAlignment="1">
      <alignment vertical="center" wrapText="1"/>
    </xf>
    <xf numFmtId="201" fontId="279" fillId="24" borderId="178" xfId="10" applyNumberFormat="1" applyFont="1" applyFill="1" applyBorder="1" applyAlignment="1">
      <alignment vertical="center" wrapText="1"/>
    </xf>
    <xf numFmtId="0" fontId="164" fillId="28" borderId="185" xfId="10" applyFont="1" applyFill="1" applyBorder="1" applyAlignment="1">
      <alignment horizontal="left" vertical="center" wrapText="1"/>
    </xf>
    <xf numFmtId="39" fontId="289" fillId="29" borderId="185" xfId="10" applyNumberFormat="1" applyFont="1" applyFill="1" applyBorder="1" applyAlignment="1" applyProtection="1">
      <alignment horizontal="right" vertical="center"/>
      <protection locked="0"/>
    </xf>
    <xf numFmtId="201" fontId="96" fillId="0" borderId="0" xfId="10" applyNumberFormat="1" applyAlignment="1">
      <alignment horizontal="center" vertical="center"/>
    </xf>
    <xf numFmtId="0" fontId="278" fillId="23" borderId="178" xfId="10" applyFont="1" applyFill="1" applyBorder="1" applyAlignment="1">
      <alignment horizontal="center" vertical="center" wrapText="1"/>
    </xf>
    <xf numFmtId="0" fontId="279" fillId="24" borderId="178" xfId="10" applyFont="1" applyFill="1" applyBorder="1" applyAlignment="1">
      <alignment vertical="center" wrapText="1"/>
    </xf>
    <xf numFmtId="177" fontId="55" fillId="18" borderId="1" xfId="1" applyNumberFormat="1" applyFont="1" applyFill="1" applyBorder="1" applyAlignment="1">
      <alignment horizontal="center"/>
    </xf>
    <xf numFmtId="9" fontId="279" fillId="12" borderId="182" xfId="10" applyNumberFormat="1" applyFont="1" applyFill="1" applyBorder="1" applyAlignment="1">
      <alignment horizontal="center" vertical="center" wrapText="1"/>
    </xf>
    <xf numFmtId="201" fontId="279" fillId="12" borderId="182" xfId="10" applyNumberFormat="1" applyFont="1" applyFill="1" applyBorder="1" applyAlignment="1">
      <alignment horizontal="center" vertical="center" wrapText="1"/>
    </xf>
    <xf numFmtId="4" fontId="279" fillId="5" borderId="178" xfId="10" applyNumberFormat="1" applyFont="1" applyFill="1" applyBorder="1" applyAlignment="1">
      <alignment vertical="center" wrapText="1"/>
    </xf>
    <xf numFmtId="201" fontId="279" fillId="5" borderId="178" xfId="10" applyNumberFormat="1" applyFont="1" applyFill="1" applyBorder="1" applyAlignment="1">
      <alignment vertical="center" wrapText="1"/>
    </xf>
    <xf numFmtId="179" fontId="279" fillId="24" borderId="178" xfId="10" applyNumberFormat="1" applyFont="1" applyFill="1" applyBorder="1" applyAlignment="1">
      <alignment vertical="center" wrapText="1"/>
    </xf>
    <xf numFmtId="0" fontId="279" fillId="5" borderId="178" xfId="10" applyFont="1" applyFill="1" applyBorder="1" applyAlignment="1">
      <alignment vertical="center" wrapText="1"/>
    </xf>
    <xf numFmtId="39" fontId="164" fillId="29" borderId="185" xfId="10" applyNumberFormat="1" applyFont="1" applyFill="1" applyBorder="1" applyAlignment="1" applyProtection="1">
      <alignment horizontal="right" vertical="center"/>
      <protection locked="0"/>
    </xf>
    <xf numFmtId="0" fontId="290" fillId="23" borderId="182" xfId="10" applyFont="1" applyFill="1" applyBorder="1" applyAlignment="1">
      <alignment vertical="center" wrapText="1"/>
    </xf>
    <xf numFmtId="0" fontId="280" fillId="23" borderId="182" xfId="10" applyFont="1" applyFill="1" applyBorder="1" applyAlignment="1">
      <alignment vertical="center" wrapText="1"/>
    </xf>
    <xf numFmtId="201" fontId="279" fillId="12" borderId="182" xfId="21" applyNumberFormat="1" applyFont="1" applyFill="1" applyBorder="1" applyAlignment="1">
      <alignment vertical="center" wrapText="1"/>
    </xf>
    <xf numFmtId="0" fontId="292" fillId="30" borderId="0" xfId="10" applyFont="1" applyFill="1" applyAlignment="1">
      <alignment horizontal="center" vertical="center"/>
    </xf>
    <xf numFmtId="0" fontId="291" fillId="0" borderId="0" xfId="10" applyFont="1" applyAlignment="1">
      <alignment horizontal="left" vertical="center"/>
    </xf>
    <xf numFmtId="39" fontId="291" fillId="0" borderId="0" xfId="10" applyNumberFormat="1" applyFont="1" applyAlignment="1">
      <alignment horizontal="right" vertical="center"/>
    </xf>
    <xf numFmtId="0" fontId="291" fillId="31" borderId="0" xfId="10" applyFont="1" applyFill="1" applyAlignment="1">
      <alignment horizontal="left" vertical="center"/>
    </xf>
    <xf numFmtId="39" fontId="291" fillId="31" borderId="0" xfId="10" applyNumberFormat="1" applyFont="1" applyFill="1" applyAlignment="1">
      <alignment horizontal="right" vertical="center"/>
    </xf>
    <xf numFmtId="0" fontId="294" fillId="32" borderId="182" xfId="10" applyFont="1" applyFill="1" applyBorder="1" applyAlignment="1">
      <alignment vertical="center" wrapText="1"/>
    </xf>
    <xf numFmtId="201" fontId="294" fillId="32" borderId="182" xfId="10" applyNumberFormat="1" applyFont="1" applyFill="1" applyBorder="1" applyAlignment="1">
      <alignment horizontal="center" vertical="center" wrapText="1"/>
    </xf>
    <xf numFmtId="177" fontId="294" fillId="32" borderId="182" xfId="10" applyNumberFormat="1" applyFont="1" applyFill="1" applyBorder="1" applyAlignment="1">
      <alignment horizontal="center" vertical="center" wrapText="1"/>
    </xf>
    <xf numFmtId="0" fontId="295" fillId="0" borderId="182" xfId="10" applyFont="1" applyBorder="1" applyAlignment="1">
      <alignment vertical="center" wrapText="1"/>
    </xf>
    <xf numFmtId="201" fontId="296" fillId="0" borderId="182" xfId="10" applyNumberFormat="1" applyFont="1" applyBorder="1" applyAlignment="1">
      <alignment horizontal="center" vertical="center" wrapText="1"/>
    </xf>
    <xf numFmtId="0" fontId="296" fillId="0" borderId="182" xfId="10" applyFont="1" applyBorder="1" applyAlignment="1">
      <alignment vertical="center" wrapText="1"/>
    </xf>
    <xf numFmtId="0" fontId="96" fillId="0" borderId="0" xfId="10" applyAlignment="1">
      <alignment horizontal="left" vertical="center"/>
    </xf>
    <xf numFmtId="0" fontId="96" fillId="5" borderId="0" xfId="0" applyFont="1" applyFill="1">
      <alignment vertical="center"/>
    </xf>
    <xf numFmtId="0" fontId="0" fillId="5" borderId="0" xfId="0" applyFill="1">
      <alignment vertical="center"/>
    </xf>
    <xf numFmtId="0" fontId="129" fillId="0" borderId="37" xfId="0" applyFont="1" applyBorder="1" applyAlignment="1" applyProtection="1">
      <alignment horizontal="center" vertical="center" wrapText="1"/>
      <protection locked="0"/>
    </xf>
    <xf numFmtId="0" fontId="297" fillId="0" borderId="37"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298" fillId="0" borderId="38"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9" fillId="24" borderId="178" xfId="10" applyFont="1" applyFill="1" applyBorder="1" applyAlignment="1">
      <alignment vertical="center" wrapText="1"/>
    </xf>
    <xf numFmtId="0" fontId="278" fillId="23" borderId="178" xfId="10" applyFont="1" applyFill="1" applyBorder="1" applyAlignment="1">
      <alignment vertical="center" wrapText="1"/>
    </xf>
    <xf numFmtId="0" fontId="278" fillId="23" borderId="178" xfId="10" applyFont="1" applyFill="1" applyBorder="1" applyAlignment="1">
      <alignment horizontal="center" vertical="center" wrapText="1"/>
    </xf>
    <xf numFmtId="0" fontId="283" fillId="23" borderId="182" xfId="10" applyFont="1" applyFill="1" applyBorder="1" applyAlignment="1">
      <alignment vertical="center" wrapText="1"/>
    </xf>
    <xf numFmtId="0" fontId="279" fillId="24" borderId="179" xfId="10" applyFont="1" applyFill="1" applyBorder="1" applyAlignment="1">
      <alignment horizontal="center" vertical="center" wrapText="1"/>
    </xf>
    <xf numFmtId="0" fontId="279" fillId="24" borderId="180" xfId="10" applyFont="1" applyFill="1" applyBorder="1" applyAlignment="1">
      <alignment horizontal="center" vertical="center" wrapText="1"/>
    </xf>
    <xf numFmtId="0" fontId="279" fillId="24" borderId="181" xfId="10" applyFont="1" applyFill="1" applyBorder="1" applyAlignment="1">
      <alignment horizontal="center" vertical="center" wrapText="1"/>
    </xf>
    <xf numFmtId="0" fontId="290" fillId="23" borderId="182" xfId="10" applyFont="1" applyFill="1" applyBorder="1" applyAlignment="1">
      <alignment vertical="center" wrapText="1"/>
    </xf>
    <xf numFmtId="0" fontId="291" fillId="30" borderId="0" xfId="10" applyFont="1" applyFill="1" applyAlignment="1">
      <alignment horizontal="center" vertical="center"/>
    </xf>
    <xf numFmtId="0" fontId="270" fillId="0" borderId="0" xfId="19" applyFont="1" applyAlignment="1" applyProtection="1">
      <alignment horizontal="left" vertical="top" wrapText="1"/>
      <protection locked="0"/>
    </xf>
    <xf numFmtId="0" fontId="54" fillId="0" borderId="0" xfId="19" applyAlignment="1">
      <alignment horizontal="left"/>
    </xf>
    <xf numFmtId="0" fontId="222" fillId="0" borderId="0" xfId="19" applyFont="1" applyAlignment="1" applyProtection="1">
      <alignment horizontal="left" vertical="top" wrapText="1"/>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4">
    <cellStyle name="Change A&amp;ll" xfId="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3" xfId="23"/>
  </cellStyles>
  <dxfs count="187">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45</xdr:row>
      <xdr:rowOff>6350</xdr:rowOff>
    </xdr:from>
    <xdr:to>
      <xdr:col>15</xdr:col>
      <xdr:colOff>358140</xdr:colOff>
      <xdr:row>66</xdr:row>
      <xdr:rowOff>69851</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1543050" y="11483975"/>
          <a:ext cx="10883265" cy="50641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70</xdr:row>
      <xdr:rowOff>1</xdr:rowOff>
    </xdr:from>
    <xdr:to>
      <xdr:col>22</xdr:col>
      <xdr:colOff>375750</xdr:colOff>
      <xdr:row>100</xdr:row>
      <xdr:rowOff>57151</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0" y="2152651"/>
          <a:ext cx="11062800" cy="4629150"/>
        </a:xfrm>
        <a:prstGeom prst="rect">
          <a:avLst/>
        </a:prstGeom>
      </xdr:spPr>
    </xdr:pic>
    <xdr:clientData/>
  </xdr:twoCellAnchor>
  <xdr:twoCellAnchor>
    <xdr:from>
      <xdr:col>9</xdr:col>
      <xdr:colOff>314325</xdr:colOff>
      <xdr:row>80</xdr:row>
      <xdr:rowOff>133350</xdr:rowOff>
    </xdr:from>
    <xdr:to>
      <xdr:col>10</xdr:col>
      <xdr:colOff>609600</xdr:colOff>
      <xdr:row>83</xdr:row>
      <xdr:rowOff>28575</xdr:rowOff>
    </xdr:to>
    <xdr:sp macro="" textlink="">
      <xdr:nvSpPr>
        <xdr:cNvPr id="3" name="TextBox 2">
          <a:extLst>
            <a:ext uri="{FF2B5EF4-FFF2-40B4-BE49-F238E27FC236}">
              <a16:creationId xmlns:a16="http://schemas.microsoft.com/office/drawing/2014/main" xmlns="" id="{00000000-0008-0000-1B00-000003000000}"/>
            </a:ext>
          </a:extLst>
        </xdr:cNvPr>
        <xdr:cNvSpPr txBox="1"/>
      </xdr:nvSpPr>
      <xdr:spPr>
        <a:xfrm>
          <a:off x="3886200" y="3810000"/>
          <a:ext cx="981075" cy="35242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10</xdr:col>
      <xdr:colOff>1095375</xdr:colOff>
      <xdr:row>86</xdr:row>
      <xdr:rowOff>66675</xdr:rowOff>
    </xdr:from>
    <xdr:to>
      <xdr:col>10</xdr:col>
      <xdr:colOff>1790700</xdr:colOff>
      <xdr:row>89</xdr:row>
      <xdr:rowOff>0</xdr:rowOff>
    </xdr:to>
    <xdr:sp macro="" textlink="">
      <xdr:nvSpPr>
        <xdr:cNvPr id="4" name="TextBox 3">
          <a:extLst>
            <a:ext uri="{FF2B5EF4-FFF2-40B4-BE49-F238E27FC236}">
              <a16:creationId xmlns:a16="http://schemas.microsoft.com/office/drawing/2014/main" xmlns="" id="{00000000-0008-0000-1B00-000004000000}"/>
            </a:ext>
          </a:extLst>
        </xdr:cNvPr>
        <xdr:cNvSpPr txBox="1"/>
      </xdr:nvSpPr>
      <xdr:spPr>
        <a:xfrm>
          <a:off x="5353050" y="4657725"/>
          <a:ext cx="695325" cy="3905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twoCellAnchor>
    <xdr:from>
      <xdr:col>0</xdr:col>
      <xdr:colOff>1390650</xdr:colOff>
      <xdr:row>76</xdr:row>
      <xdr:rowOff>9525</xdr:rowOff>
    </xdr:from>
    <xdr:to>
      <xdr:col>2</xdr:col>
      <xdr:colOff>571500</xdr:colOff>
      <xdr:row>78</xdr:row>
      <xdr:rowOff>85725</xdr:rowOff>
    </xdr:to>
    <xdr:sp macro="" textlink="">
      <xdr:nvSpPr>
        <xdr:cNvPr id="5" name="TextBox 4">
          <a:extLst>
            <a:ext uri="{FF2B5EF4-FFF2-40B4-BE49-F238E27FC236}">
              <a16:creationId xmlns:a16="http://schemas.microsoft.com/office/drawing/2014/main" xmlns="" id="{00000000-0008-0000-1B00-000005000000}"/>
            </a:ext>
          </a:extLst>
        </xdr:cNvPr>
        <xdr:cNvSpPr txBox="1"/>
      </xdr:nvSpPr>
      <xdr:spPr>
        <a:xfrm>
          <a:off x="1390650" y="3076575"/>
          <a:ext cx="704850"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9</xdr:col>
      <xdr:colOff>371475</xdr:colOff>
      <xdr:row>95</xdr:row>
      <xdr:rowOff>123825</xdr:rowOff>
    </xdr:from>
    <xdr:to>
      <xdr:col>10</xdr:col>
      <xdr:colOff>428625</xdr:colOff>
      <xdr:row>98</xdr:row>
      <xdr:rowOff>19050</xdr:rowOff>
    </xdr:to>
    <xdr:sp macro="" textlink="">
      <xdr:nvSpPr>
        <xdr:cNvPr id="6" name="TextBox 5">
          <a:extLst>
            <a:ext uri="{FF2B5EF4-FFF2-40B4-BE49-F238E27FC236}">
              <a16:creationId xmlns:a16="http://schemas.microsoft.com/office/drawing/2014/main" xmlns="" id="{00000000-0008-0000-1B00-000006000000}"/>
            </a:ext>
          </a:extLst>
        </xdr:cNvPr>
        <xdr:cNvSpPr txBox="1"/>
      </xdr:nvSpPr>
      <xdr:spPr>
        <a:xfrm>
          <a:off x="3943350" y="6086475"/>
          <a:ext cx="74295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370314</xdr:colOff>
      <xdr:row>33</xdr:row>
      <xdr:rowOff>161198</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a:stretch>
          <a:fillRect/>
        </a:stretch>
      </xdr:blipFill>
      <xdr:spPr>
        <a:xfrm>
          <a:off x="0" y="0"/>
          <a:ext cx="9285714" cy="5819048"/>
        </a:xfrm>
        <a:prstGeom prst="rect">
          <a:avLst/>
        </a:prstGeom>
      </xdr:spPr>
    </xdr:pic>
    <xdr:clientData/>
  </xdr:twoCellAnchor>
  <xdr:twoCellAnchor editAs="oneCell">
    <xdr:from>
      <xdr:col>0</xdr:col>
      <xdr:colOff>0</xdr:colOff>
      <xdr:row>39</xdr:row>
      <xdr:rowOff>0</xdr:rowOff>
    </xdr:from>
    <xdr:to>
      <xdr:col>12</xdr:col>
      <xdr:colOff>598971</xdr:colOff>
      <xdr:row>66</xdr:row>
      <xdr:rowOff>113707</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2"/>
        <a:stretch>
          <a:fillRect/>
        </a:stretch>
      </xdr:blipFill>
      <xdr:spPr>
        <a:xfrm>
          <a:off x="0" y="6686550"/>
          <a:ext cx="8828571" cy="4742857"/>
        </a:xfrm>
        <a:prstGeom prst="rect">
          <a:avLst/>
        </a:prstGeom>
      </xdr:spPr>
    </xdr:pic>
    <xdr:clientData/>
  </xdr:twoCellAnchor>
  <xdr:twoCellAnchor editAs="oneCell">
    <xdr:from>
      <xdr:col>0</xdr:col>
      <xdr:colOff>0</xdr:colOff>
      <xdr:row>71</xdr:row>
      <xdr:rowOff>0</xdr:rowOff>
    </xdr:from>
    <xdr:to>
      <xdr:col>13</xdr:col>
      <xdr:colOff>427457</xdr:colOff>
      <xdr:row>99</xdr:row>
      <xdr:rowOff>75590</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2172950"/>
          <a:ext cx="9342857" cy="4876190"/>
        </a:xfrm>
        <a:prstGeom prst="rect">
          <a:avLst/>
        </a:prstGeom>
      </xdr:spPr>
    </xdr:pic>
    <xdr:clientData/>
  </xdr:twoCellAnchor>
  <xdr:twoCellAnchor editAs="oneCell">
    <xdr:from>
      <xdr:col>0</xdr:col>
      <xdr:colOff>0</xdr:colOff>
      <xdr:row>104</xdr:row>
      <xdr:rowOff>0</xdr:rowOff>
    </xdr:from>
    <xdr:to>
      <xdr:col>17</xdr:col>
      <xdr:colOff>446162</xdr:colOff>
      <xdr:row>131</xdr:row>
      <xdr:rowOff>94659</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17830800"/>
          <a:ext cx="12104762" cy="4723809"/>
        </a:xfrm>
        <a:prstGeom prst="rect">
          <a:avLst/>
        </a:prstGeom>
      </xdr:spPr>
    </xdr:pic>
    <xdr:clientData/>
  </xdr:twoCellAnchor>
  <xdr:twoCellAnchor editAs="oneCell">
    <xdr:from>
      <xdr:col>0</xdr:col>
      <xdr:colOff>0</xdr:colOff>
      <xdr:row>137</xdr:row>
      <xdr:rowOff>0</xdr:rowOff>
    </xdr:from>
    <xdr:to>
      <xdr:col>17</xdr:col>
      <xdr:colOff>322352</xdr:colOff>
      <xdr:row>163</xdr:row>
      <xdr:rowOff>94681</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23488650"/>
          <a:ext cx="11980952" cy="4552381"/>
        </a:xfrm>
        <a:prstGeom prst="rect">
          <a:avLst/>
        </a:prstGeom>
      </xdr:spPr>
    </xdr:pic>
    <xdr:clientData/>
  </xdr:twoCellAnchor>
  <xdr:twoCellAnchor editAs="oneCell">
    <xdr:from>
      <xdr:col>0</xdr:col>
      <xdr:colOff>0</xdr:colOff>
      <xdr:row>167</xdr:row>
      <xdr:rowOff>0</xdr:rowOff>
    </xdr:from>
    <xdr:to>
      <xdr:col>15</xdr:col>
      <xdr:colOff>360619</xdr:colOff>
      <xdr:row>195</xdr:row>
      <xdr:rowOff>151781</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0" y="28632150"/>
          <a:ext cx="10647619" cy="49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56286</xdr:colOff>
      <xdr:row>32</xdr:row>
      <xdr:rowOff>65981</xdr:rowOff>
    </xdr:to>
    <xdr:pic>
      <xdr:nvPicPr>
        <xdr:cNvPr id="2" name="图片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6914286" cy="5552381"/>
        </a:xfrm>
        <a:prstGeom prst="rect">
          <a:avLst/>
        </a:prstGeom>
      </xdr:spPr>
    </xdr:pic>
    <xdr:clientData/>
  </xdr:twoCellAnchor>
  <xdr:twoCellAnchor editAs="oneCell">
    <xdr:from>
      <xdr:col>0</xdr:col>
      <xdr:colOff>0</xdr:colOff>
      <xdr:row>33</xdr:row>
      <xdr:rowOff>0</xdr:rowOff>
    </xdr:from>
    <xdr:to>
      <xdr:col>10</xdr:col>
      <xdr:colOff>342000</xdr:colOff>
      <xdr:row>64</xdr:row>
      <xdr:rowOff>123145</xdr:rowOff>
    </xdr:to>
    <xdr:pic>
      <xdr:nvPicPr>
        <xdr:cNvPr id="3" name="图片 2">
          <a:extLst>
            <a:ext uri="{FF2B5EF4-FFF2-40B4-BE49-F238E27FC236}">
              <a16:creationId xmlns:a16="http://schemas.microsoft.com/office/drawing/2014/main" xmlns="" id="{00000000-0008-0000-3900-000003000000}"/>
            </a:ext>
          </a:extLst>
        </xdr:cNvPr>
        <xdr:cNvPicPr>
          <a:picLocks noChangeAspect="1"/>
        </xdr:cNvPicPr>
      </xdr:nvPicPr>
      <xdr:blipFill>
        <a:blip xmlns:r="http://schemas.openxmlformats.org/officeDocument/2006/relationships" r:embed="rId2"/>
        <a:stretch>
          <a:fillRect/>
        </a:stretch>
      </xdr:blipFill>
      <xdr:spPr>
        <a:xfrm>
          <a:off x="0" y="5657850"/>
          <a:ext cx="7200000" cy="5438095"/>
        </a:xfrm>
        <a:prstGeom prst="rect">
          <a:avLst/>
        </a:prstGeom>
      </xdr:spPr>
    </xdr:pic>
    <xdr:clientData/>
  </xdr:twoCellAnchor>
  <xdr:twoCellAnchor editAs="oneCell">
    <xdr:from>
      <xdr:col>0</xdr:col>
      <xdr:colOff>0</xdr:colOff>
      <xdr:row>65</xdr:row>
      <xdr:rowOff>0</xdr:rowOff>
    </xdr:from>
    <xdr:to>
      <xdr:col>11</xdr:col>
      <xdr:colOff>103819</xdr:colOff>
      <xdr:row>97</xdr:row>
      <xdr:rowOff>37409</xdr:rowOff>
    </xdr:to>
    <xdr:pic>
      <xdr:nvPicPr>
        <xdr:cNvPr id="4" name="图片 3">
          <a:extLst>
            <a:ext uri="{FF2B5EF4-FFF2-40B4-BE49-F238E27FC236}">
              <a16:creationId xmlns:a16="http://schemas.microsoft.com/office/drawing/2014/main" xmlns="" id="{00000000-0008-0000-3900-000004000000}"/>
            </a:ext>
          </a:extLst>
        </xdr:cNvPr>
        <xdr:cNvPicPr>
          <a:picLocks noChangeAspect="1"/>
        </xdr:cNvPicPr>
      </xdr:nvPicPr>
      <xdr:blipFill>
        <a:blip xmlns:r="http://schemas.openxmlformats.org/officeDocument/2006/relationships" r:embed="rId3"/>
        <a:stretch>
          <a:fillRect/>
        </a:stretch>
      </xdr:blipFill>
      <xdr:spPr>
        <a:xfrm>
          <a:off x="0" y="11144250"/>
          <a:ext cx="7647619" cy="5523809"/>
        </a:xfrm>
        <a:prstGeom prst="rect">
          <a:avLst/>
        </a:prstGeom>
      </xdr:spPr>
    </xdr:pic>
    <xdr:clientData/>
  </xdr:twoCellAnchor>
  <xdr:twoCellAnchor editAs="oneCell">
    <xdr:from>
      <xdr:col>11</xdr:col>
      <xdr:colOff>0</xdr:colOff>
      <xdr:row>0</xdr:row>
      <xdr:rowOff>0</xdr:rowOff>
    </xdr:from>
    <xdr:to>
      <xdr:col>21</xdr:col>
      <xdr:colOff>189619</xdr:colOff>
      <xdr:row>28</xdr:row>
      <xdr:rowOff>161305</xdr:rowOff>
    </xdr:to>
    <xdr:pic>
      <xdr:nvPicPr>
        <xdr:cNvPr id="6" name="图片 5">
          <a:extLst>
            <a:ext uri="{FF2B5EF4-FFF2-40B4-BE49-F238E27FC236}">
              <a16:creationId xmlns:a16="http://schemas.microsoft.com/office/drawing/2014/main" xmlns="" id="{00000000-0008-0000-3900-000006000000}"/>
            </a:ext>
          </a:extLst>
        </xdr:cNvPr>
        <xdr:cNvPicPr>
          <a:picLocks noChangeAspect="1"/>
        </xdr:cNvPicPr>
      </xdr:nvPicPr>
      <xdr:blipFill>
        <a:blip xmlns:r="http://schemas.openxmlformats.org/officeDocument/2006/relationships" r:embed="rId4"/>
        <a:stretch>
          <a:fillRect/>
        </a:stretch>
      </xdr:blipFill>
      <xdr:spPr>
        <a:xfrm>
          <a:off x="7543800" y="0"/>
          <a:ext cx="7047619" cy="4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29</xdr:row>
      <xdr:rowOff>142236</xdr:rowOff>
    </xdr:to>
    <xdr:pic>
      <xdr:nvPicPr>
        <xdr:cNvPr id="2" name="图片 1">
          <a:extLst>
            <a:ext uri="{FF2B5EF4-FFF2-40B4-BE49-F238E27FC236}">
              <a16:creationId xmlns:a16="http://schemas.microsoft.com/office/drawing/2014/main" xmlns=""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7771428" cy="5114286"/>
        </a:xfrm>
        <a:prstGeom prst="rect">
          <a:avLst/>
        </a:prstGeom>
      </xdr:spPr>
    </xdr:pic>
    <xdr:clientData/>
  </xdr:twoCellAnchor>
  <xdr:twoCellAnchor editAs="oneCell">
    <xdr:from>
      <xdr:col>0</xdr:col>
      <xdr:colOff>0</xdr:colOff>
      <xdr:row>30</xdr:row>
      <xdr:rowOff>0</xdr:rowOff>
    </xdr:from>
    <xdr:to>
      <xdr:col>11</xdr:col>
      <xdr:colOff>180009</xdr:colOff>
      <xdr:row>45</xdr:row>
      <xdr:rowOff>94917</xdr:rowOff>
    </xdr:to>
    <xdr:pic>
      <xdr:nvPicPr>
        <xdr:cNvPr id="3" name="图片 2">
          <a:extLst>
            <a:ext uri="{FF2B5EF4-FFF2-40B4-BE49-F238E27FC236}">
              <a16:creationId xmlns:a16="http://schemas.microsoft.com/office/drawing/2014/main" xmlns="" id="{00000000-0008-0000-3B00-000003000000}"/>
            </a:ext>
          </a:extLst>
        </xdr:cNvPr>
        <xdr:cNvPicPr>
          <a:picLocks noChangeAspect="1"/>
        </xdr:cNvPicPr>
      </xdr:nvPicPr>
      <xdr:blipFill>
        <a:blip xmlns:r="http://schemas.openxmlformats.org/officeDocument/2006/relationships" r:embed="rId2"/>
        <a:stretch>
          <a:fillRect/>
        </a:stretch>
      </xdr:blipFill>
      <xdr:spPr>
        <a:xfrm>
          <a:off x="0" y="5143500"/>
          <a:ext cx="7723809" cy="2666667"/>
        </a:xfrm>
        <a:prstGeom prst="rect">
          <a:avLst/>
        </a:prstGeom>
      </xdr:spPr>
    </xdr:pic>
    <xdr:clientData/>
  </xdr:twoCellAnchor>
  <xdr:twoCellAnchor editAs="oneCell">
    <xdr:from>
      <xdr:col>12</xdr:col>
      <xdr:colOff>0</xdr:colOff>
      <xdr:row>0</xdr:row>
      <xdr:rowOff>0</xdr:rowOff>
    </xdr:from>
    <xdr:to>
      <xdr:col>23</xdr:col>
      <xdr:colOff>246676</xdr:colOff>
      <xdr:row>14</xdr:row>
      <xdr:rowOff>133033</xdr:rowOff>
    </xdr:to>
    <xdr:pic>
      <xdr:nvPicPr>
        <xdr:cNvPr id="4" name="图片 3">
          <a:extLst>
            <a:ext uri="{FF2B5EF4-FFF2-40B4-BE49-F238E27FC236}">
              <a16:creationId xmlns:a16="http://schemas.microsoft.com/office/drawing/2014/main" xmlns="" id="{00000000-0008-0000-3B00-000004000000}"/>
            </a:ext>
          </a:extLst>
        </xdr:cNvPr>
        <xdr:cNvPicPr>
          <a:picLocks noChangeAspect="1"/>
        </xdr:cNvPicPr>
      </xdr:nvPicPr>
      <xdr:blipFill>
        <a:blip xmlns:r="http://schemas.openxmlformats.org/officeDocument/2006/relationships" r:embed="rId3"/>
        <a:stretch>
          <a:fillRect/>
        </a:stretch>
      </xdr:blipFill>
      <xdr:spPr>
        <a:xfrm>
          <a:off x="8229600" y="0"/>
          <a:ext cx="7790476" cy="25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389533</xdr:colOff>
      <xdr:row>30</xdr:row>
      <xdr:rowOff>132690</xdr:rowOff>
    </xdr:to>
    <xdr:pic>
      <xdr:nvPicPr>
        <xdr:cNvPr id="2" name="图片 1">
          <a:extLst>
            <a:ext uri="{FF2B5EF4-FFF2-40B4-BE49-F238E27FC236}">
              <a16:creationId xmlns:a16="http://schemas.microsoft.com/office/drawing/2014/main" xmlns="" id="{00000000-0008-0000-3C00-000002000000}"/>
            </a:ext>
          </a:extLst>
        </xdr:cNvPr>
        <xdr:cNvPicPr>
          <a:picLocks noChangeAspect="1"/>
        </xdr:cNvPicPr>
      </xdr:nvPicPr>
      <xdr:blipFill>
        <a:blip xmlns:r="http://schemas.openxmlformats.org/officeDocument/2006/relationships" r:embed="rId1"/>
        <a:stretch>
          <a:fillRect/>
        </a:stretch>
      </xdr:blipFill>
      <xdr:spPr>
        <a:xfrm>
          <a:off x="0" y="0"/>
          <a:ext cx="7933333" cy="5276190"/>
        </a:xfrm>
        <a:prstGeom prst="rect">
          <a:avLst/>
        </a:prstGeom>
      </xdr:spPr>
    </xdr:pic>
    <xdr:clientData/>
  </xdr:twoCellAnchor>
  <xdr:twoCellAnchor editAs="oneCell">
    <xdr:from>
      <xdr:col>0</xdr:col>
      <xdr:colOff>0</xdr:colOff>
      <xdr:row>31</xdr:row>
      <xdr:rowOff>0</xdr:rowOff>
    </xdr:from>
    <xdr:to>
      <xdr:col>11</xdr:col>
      <xdr:colOff>237152</xdr:colOff>
      <xdr:row>59</xdr:row>
      <xdr:rowOff>104162</xdr:rowOff>
    </xdr:to>
    <xdr:pic>
      <xdr:nvPicPr>
        <xdr:cNvPr id="3" name="图片 2">
          <a:extLst>
            <a:ext uri="{FF2B5EF4-FFF2-40B4-BE49-F238E27FC236}">
              <a16:creationId xmlns:a16="http://schemas.microsoft.com/office/drawing/2014/main" xmlns="" id="{00000000-0008-0000-3C00-000003000000}"/>
            </a:ext>
          </a:extLst>
        </xdr:cNvPr>
        <xdr:cNvPicPr>
          <a:picLocks noChangeAspect="1"/>
        </xdr:cNvPicPr>
      </xdr:nvPicPr>
      <xdr:blipFill>
        <a:blip xmlns:r="http://schemas.openxmlformats.org/officeDocument/2006/relationships" r:embed="rId2"/>
        <a:stretch>
          <a:fillRect/>
        </a:stretch>
      </xdr:blipFill>
      <xdr:spPr>
        <a:xfrm>
          <a:off x="0" y="5314950"/>
          <a:ext cx="7780952" cy="4904762"/>
        </a:xfrm>
        <a:prstGeom prst="rect">
          <a:avLst/>
        </a:prstGeom>
      </xdr:spPr>
    </xdr:pic>
    <xdr:clientData/>
  </xdr:twoCellAnchor>
  <xdr:twoCellAnchor editAs="oneCell">
    <xdr:from>
      <xdr:col>0</xdr:col>
      <xdr:colOff>0</xdr:colOff>
      <xdr:row>60</xdr:row>
      <xdr:rowOff>0</xdr:rowOff>
    </xdr:from>
    <xdr:to>
      <xdr:col>11</xdr:col>
      <xdr:colOff>294295</xdr:colOff>
      <xdr:row>90</xdr:row>
      <xdr:rowOff>66024</xdr:rowOff>
    </xdr:to>
    <xdr:pic>
      <xdr:nvPicPr>
        <xdr:cNvPr id="4" name="图片 3">
          <a:extLst>
            <a:ext uri="{FF2B5EF4-FFF2-40B4-BE49-F238E27FC236}">
              <a16:creationId xmlns:a16="http://schemas.microsoft.com/office/drawing/2014/main" xmlns="" id="{00000000-0008-0000-3C00-000004000000}"/>
            </a:ext>
          </a:extLst>
        </xdr:cNvPr>
        <xdr:cNvPicPr>
          <a:picLocks noChangeAspect="1"/>
        </xdr:cNvPicPr>
      </xdr:nvPicPr>
      <xdr:blipFill>
        <a:blip xmlns:r="http://schemas.openxmlformats.org/officeDocument/2006/relationships" r:embed="rId3"/>
        <a:stretch>
          <a:fillRect/>
        </a:stretch>
      </xdr:blipFill>
      <xdr:spPr>
        <a:xfrm>
          <a:off x="0" y="10287000"/>
          <a:ext cx="7838095" cy="5209524"/>
        </a:xfrm>
        <a:prstGeom prst="rect">
          <a:avLst/>
        </a:prstGeom>
      </xdr:spPr>
    </xdr:pic>
    <xdr:clientData/>
  </xdr:twoCellAnchor>
  <xdr:twoCellAnchor editAs="oneCell">
    <xdr:from>
      <xdr:col>12</xdr:col>
      <xdr:colOff>0</xdr:colOff>
      <xdr:row>0</xdr:row>
      <xdr:rowOff>0</xdr:rowOff>
    </xdr:from>
    <xdr:to>
      <xdr:col>23</xdr:col>
      <xdr:colOff>294295</xdr:colOff>
      <xdr:row>30</xdr:row>
      <xdr:rowOff>85071</xdr:rowOff>
    </xdr:to>
    <xdr:pic>
      <xdr:nvPicPr>
        <xdr:cNvPr id="5" name="图片 4">
          <a:extLst>
            <a:ext uri="{FF2B5EF4-FFF2-40B4-BE49-F238E27FC236}">
              <a16:creationId xmlns:a16="http://schemas.microsoft.com/office/drawing/2014/main" xmlns="" id="{00000000-0008-0000-3C00-000005000000}"/>
            </a:ext>
          </a:extLst>
        </xdr:cNvPr>
        <xdr:cNvPicPr>
          <a:picLocks noChangeAspect="1"/>
        </xdr:cNvPicPr>
      </xdr:nvPicPr>
      <xdr:blipFill>
        <a:blip xmlns:r="http://schemas.openxmlformats.org/officeDocument/2006/relationships" r:embed="rId4"/>
        <a:stretch>
          <a:fillRect/>
        </a:stretch>
      </xdr:blipFill>
      <xdr:spPr>
        <a:xfrm>
          <a:off x="8229600" y="0"/>
          <a:ext cx="7838095" cy="5228571"/>
        </a:xfrm>
        <a:prstGeom prst="rect">
          <a:avLst/>
        </a:prstGeom>
      </xdr:spPr>
    </xdr:pic>
    <xdr:clientData/>
  </xdr:twoCellAnchor>
  <xdr:twoCellAnchor editAs="oneCell">
    <xdr:from>
      <xdr:col>12</xdr:col>
      <xdr:colOff>0</xdr:colOff>
      <xdr:row>31</xdr:row>
      <xdr:rowOff>0</xdr:rowOff>
    </xdr:from>
    <xdr:to>
      <xdr:col>23</xdr:col>
      <xdr:colOff>322867</xdr:colOff>
      <xdr:row>54</xdr:row>
      <xdr:rowOff>75698</xdr:rowOff>
    </xdr:to>
    <xdr:pic>
      <xdr:nvPicPr>
        <xdr:cNvPr id="6" name="图片 5">
          <a:extLst>
            <a:ext uri="{FF2B5EF4-FFF2-40B4-BE49-F238E27FC236}">
              <a16:creationId xmlns:a16="http://schemas.microsoft.com/office/drawing/2014/main" xmlns="" id="{00000000-0008-0000-3C00-000006000000}"/>
            </a:ext>
          </a:extLst>
        </xdr:cNvPr>
        <xdr:cNvPicPr>
          <a:picLocks noChangeAspect="1"/>
        </xdr:cNvPicPr>
      </xdr:nvPicPr>
      <xdr:blipFill>
        <a:blip xmlns:r="http://schemas.openxmlformats.org/officeDocument/2006/relationships" r:embed="rId5"/>
        <a:stretch>
          <a:fillRect/>
        </a:stretch>
      </xdr:blipFill>
      <xdr:spPr>
        <a:xfrm>
          <a:off x="8229600" y="5314950"/>
          <a:ext cx="7866667" cy="4019048"/>
        </a:xfrm>
        <a:prstGeom prst="rect">
          <a:avLst/>
        </a:prstGeom>
      </xdr:spPr>
    </xdr:pic>
    <xdr:clientData/>
  </xdr:twoCellAnchor>
  <xdr:twoCellAnchor editAs="oneCell">
    <xdr:from>
      <xdr:col>12</xdr:col>
      <xdr:colOff>0</xdr:colOff>
      <xdr:row>55</xdr:row>
      <xdr:rowOff>0</xdr:rowOff>
    </xdr:from>
    <xdr:to>
      <xdr:col>23</xdr:col>
      <xdr:colOff>360962</xdr:colOff>
      <xdr:row>84</xdr:row>
      <xdr:rowOff>151759</xdr:rowOff>
    </xdr:to>
    <xdr:pic>
      <xdr:nvPicPr>
        <xdr:cNvPr id="7" name="图片 6">
          <a:extLst>
            <a:ext uri="{FF2B5EF4-FFF2-40B4-BE49-F238E27FC236}">
              <a16:creationId xmlns:a16="http://schemas.microsoft.com/office/drawing/2014/main" xmlns="" id="{00000000-0008-0000-3C00-000007000000}"/>
            </a:ext>
          </a:extLst>
        </xdr:cNvPr>
        <xdr:cNvPicPr>
          <a:picLocks noChangeAspect="1"/>
        </xdr:cNvPicPr>
      </xdr:nvPicPr>
      <xdr:blipFill>
        <a:blip xmlns:r="http://schemas.openxmlformats.org/officeDocument/2006/relationships" r:embed="rId6"/>
        <a:stretch>
          <a:fillRect/>
        </a:stretch>
      </xdr:blipFill>
      <xdr:spPr>
        <a:xfrm>
          <a:off x="8229600" y="9429750"/>
          <a:ext cx="7904762" cy="5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39044;&#31639;/&#24352;&#23478;&#21475;&#38134;&#29004;&#25151;&#22320;&#20135;&#24320;&#21457;&#26377;&#38480;&#20844;&#21496;A2&#22320;&#22359;20240115_13&#26102;55&#20998;41&#3118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4352;&#23478;&#21475;&#19979;&#33457;&#22253;&#21306;&#20140;&#21271;&#37329;&#33538;&#24742;/&#36164;&#26009;/&#38468;&#20214;6-&#19979;&#33457;&#22253;&#39033;&#30446;&#36319;&#25237;&#39033;&#30446;&#29616;&#37329;&#27969;&#25130;&#27490;&#27979;&#31639;-&#208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3&#39044;&#31639;/&#24352;&#23478;&#21475;&#38134;&#29004;&#25151;&#22320;&#20135;&#24320;&#21457;&#26377;&#38480;&#20844;&#21496;A1&#22320;&#22359;20240112_17&#26102;04&#20998;14&#3118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3&#39044;&#31639;/&#24352;&#23478;&#21475;&#38134;&#31185;&#25151;&#22320;&#20135;&#24320;&#21457;&#26377;&#38480;&#20844;&#21496;20240112_17&#26102;00&#20998;24&#3118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24352;&#23478;&#21475;&#19979;&#33457;&#22253;&#21306;&#20140;&#21271;&#37329;&#33538;&#24742;/&#36164;&#26009;/&#38468;&#20214;6&#65306;&#19979;&#33457;&#22253;&#39033;&#30446;&#36319;&#25237;&#39033;&#30446;&#29616;&#37329;&#27969;&#25130;&#27490;&#27979;&#316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72;&#20215;&#23545;&#35937;2-A1&#20303;&#23429;&#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72;&#20215;&#23545;&#35937;3-K&#22320;&#22359;&#21806;&#27004;&#22788;-&#35774;&#23450;&#29616;&#2515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72;&#20215;&#23545;&#35937;4-K&#22320;&#22359;&#21830;&#19994;&#21097;&#2031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4.1土增税基础表"/>
      <sheetName val="8.4.2土增税分摊表"/>
      <sheetName val="8.4.3土增税计算表"/>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 val="Sheet1"/>
    </sheetNames>
    <sheetDataSet>
      <sheetData sheetId="0"/>
      <sheetData sheetId="1"/>
      <sheetData sheetId="2"/>
      <sheetData sheetId="3">
        <row r="30">
          <cell r="E30">
            <v>5444.8775999999998</v>
          </cell>
        </row>
        <row r="36">
          <cell r="E36">
            <v>7411.9142000000002</v>
          </cell>
        </row>
        <row r="42">
          <cell r="E42">
            <v>8263.8076999999994</v>
          </cell>
        </row>
        <row r="48">
          <cell r="E48">
            <v>5517.7293</v>
          </cell>
        </row>
        <row r="54">
          <cell r="E54">
            <v>4913.3287</v>
          </cell>
        </row>
        <row r="60">
          <cell r="E60">
            <v>4338.7114000000001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
          <cell r="BB6">
            <v>63229.13572477</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底稿"/>
      <sheetName val="IRR底稿-银煌"/>
      <sheetName val="IRR底稿-银科"/>
      <sheetName val="PPT"/>
      <sheetName val="成本分摊-银煌银煌A2"/>
      <sheetName val="销售明细表-已售银煌A2南区"/>
      <sheetName val="销售明细表-未售银煌A2南区"/>
    </sheetNames>
    <sheetDataSet>
      <sheetData sheetId="0">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0.04</v>
          </cell>
          <cell r="AB3">
            <v>0</v>
          </cell>
          <cell r="AC3">
            <v>0</v>
          </cell>
          <cell r="AD3">
            <v>0.01</v>
          </cell>
          <cell r="AE3">
            <v>0</v>
          </cell>
          <cell r="AF3">
            <v>15</v>
          </cell>
          <cell r="AG3">
            <v>-0.5</v>
          </cell>
          <cell r="AH3">
            <v>-24.07</v>
          </cell>
          <cell r="AI3">
            <v>147.83000000000001</v>
          </cell>
          <cell r="AJ3">
            <v>-24.33</v>
          </cell>
          <cell r="AK3">
            <v>-0.01</v>
          </cell>
          <cell r="AL3">
            <v>-573.03</v>
          </cell>
          <cell r="AM3">
            <v>394.32</v>
          </cell>
          <cell r="AN3">
            <v>1115.08</v>
          </cell>
          <cell r="AO3">
            <v>182.9</v>
          </cell>
          <cell r="AP3">
            <v>911.33</v>
          </cell>
          <cell r="AQ3">
            <v>1252.93</v>
          </cell>
          <cell r="AR3">
            <v>1193.5</v>
          </cell>
          <cell r="AS3">
            <v>701.82</v>
          </cell>
          <cell r="AT3">
            <v>1038.74</v>
          </cell>
          <cell r="AU3">
            <v>1182.8399999999999</v>
          </cell>
          <cell r="AV3">
            <v>1059.97</v>
          </cell>
          <cell r="AW3">
            <v>1210.6600000000001</v>
          </cell>
          <cell r="AX3">
            <v>2276.56</v>
          </cell>
          <cell r="AY3">
            <v>1687</v>
          </cell>
          <cell r="AZ3">
            <v>694.69</v>
          </cell>
          <cell r="BA3">
            <v>306.99</v>
          </cell>
          <cell r="BB3">
            <v>478.15</v>
          </cell>
          <cell r="BC3">
            <v>353.6</v>
          </cell>
          <cell r="BD3">
            <v>323.77</v>
          </cell>
          <cell r="BE3">
            <v>574.44000000000005</v>
          </cell>
          <cell r="BF3">
            <v>927.32</v>
          </cell>
          <cell r="BG3">
            <v>1043.47</v>
          </cell>
          <cell r="BH3">
            <v>1367.42</v>
          </cell>
          <cell r="BI3">
            <v>106.59</v>
          </cell>
          <cell r="BJ3">
            <v>633.13</v>
          </cell>
          <cell r="BK3">
            <v>3349.88</v>
          </cell>
          <cell r="BL3">
            <v>117.98</v>
          </cell>
          <cell r="BM3">
            <v>341.25</v>
          </cell>
          <cell r="BN3">
            <v>650.47</v>
          </cell>
          <cell r="BO3">
            <v>879.68</v>
          </cell>
          <cell r="BP3">
            <v>348.57</v>
          </cell>
          <cell r="BQ3">
            <v>886.77</v>
          </cell>
          <cell r="BR3">
            <v>-6.45</v>
          </cell>
          <cell r="BS3">
            <v>104.94</v>
          </cell>
          <cell r="BT3">
            <v>901.65</v>
          </cell>
          <cell r="BU3">
            <v>23.29</v>
          </cell>
          <cell r="BV3">
            <v>-608.97</v>
          </cell>
          <cell r="BW3">
            <v>24.06</v>
          </cell>
          <cell r="BX3">
            <v>0</v>
          </cell>
          <cell r="BY3">
            <v>1</v>
          </cell>
          <cell r="BZ3">
            <v>-138.41999999999999</v>
          </cell>
          <cell r="CA3">
            <v>-4.67</v>
          </cell>
          <cell r="CB3">
            <v>-346.46</v>
          </cell>
          <cell r="CC3">
            <v>47.61</v>
          </cell>
          <cell r="CD3">
            <v>-465.32</v>
          </cell>
          <cell r="CE3">
            <v>-32.43</v>
          </cell>
          <cell r="CF3">
            <v>1.38</v>
          </cell>
          <cell r="CG3">
            <v>-152.55000000000001</v>
          </cell>
          <cell r="CH3">
            <v>-134.38</v>
          </cell>
          <cell r="CI3">
            <v>-262.58999999999997</v>
          </cell>
          <cell r="CJ3">
            <v>0</v>
          </cell>
          <cell r="CK3">
            <v>0</v>
          </cell>
          <cell r="CL3">
            <v>621.1</v>
          </cell>
          <cell r="CM3">
            <v>621.1</v>
          </cell>
          <cell r="CN3">
            <v>425.47</v>
          </cell>
          <cell r="CO3">
            <v>202.97</v>
          </cell>
          <cell r="CP3">
            <v>265.57</v>
          </cell>
          <cell r="CQ3">
            <v>519.34</v>
          </cell>
          <cell r="CR3">
            <v>519.34</v>
          </cell>
          <cell r="CS3">
            <v>416.15</v>
          </cell>
          <cell r="CT3">
            <v>173</v>
          </cell>
          <cell r="CU3">
            <v>700</v>
          </cell>
          <cell r="CV3">
            <v>2454.2199999999998</v>
          </cell>
          <cell r="CW3">
            <v>0</v>
          </cell>
          <cell r="CX3">
            <v>0</v>
          </cell>
          <cell r="CY3">
            <v>0</v>
          </cell>
          <cell r="CZ3">
            <v>0</v>
          </cell>
          <cell r="DA3">
            <v>0</v>
          </cell>
          <cell r="DB3">
            <v>2999.7772</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cell r="EH3">
            <v>0</v>
          </cell>
          <cell r="EI3">
            <v>0</v>
          </cell>
          <cell r="EJ3">
            <v>0</v>
          </cell>
          <cell r="EK3">
            <v>0</v>
          </cell>
          <cell r="EL3">
            <v>0</v>
          </cell>
          <cell r="EM3">
            <v>0</v>
          </cell>
          <cell r="EN3">
            <v>0</v>
          </cell>
          <cell r="EO3">
            <v>0</v>
          </cell>
          <cell r="EP3">
            <v>0</v>
          </cell>
          <cell r="EQ3">
            <v>0</v>
          </cell>
          <cell r="ES3">
            <v>0</v>
          </cell>
          <cell r="ET3">
            <v>0</v>
          </cell>
          <cell r="EU3">
            <v>0</v>
          </cell>
          <cell r="EV3">
            <v>0</v>
          </cell>
          <cell r="EW3">
            <v>0</v>
          </cell>
          <cell r="EX3">
            <v>0</v>
          </cell>
          <cell r="EY3">
            <v>0</v>
          </cell>
          <cell r="EZ3">
            <v>0</v>
          </cell>
          <cell r="FA3">
            <v>0</v>
          </cell>
          <cell r="FB3">
            <v>0</v>
          </cell>
          <cell r="FC3">
            <v>79812.940799999997</v>
          </cell>
          <cell r="FD3">
            <v>0</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4</v>
          </cell>
          <cell r="AH4">
            <v>-27.07</v>
          </cell>
          <cell r="AI4">
            <v>-352.1</v>
          </cell>
          <cell r="AJ4">
            <v>2.73</v>
          </cell>
          <cell r="AK4">
            <v>-0.01</v>
          </cell>
          <cell r="AL4">
            <v>375.54</v>
          </cell>
          <cell r="AM4">
            <v>382.39</v>
          </cell>
          <cell r="AN4">
            <v>1115.0999999999999</v>
          </cell>
          <cell r="AO4">
            <v>182.92</v>
          </cell>
          <cell r="AP4">
            <v>902.7</v>
          </cell>
          <cell r="AQ4">
            <v>1252.95</v>
          </cell>
          <cell r="AR4">
            <v>1193.51</v>
          </cell>
          <cell r="AS4">
            <v>695.2</v>
          </cell>
          <cell r="AT4">
            <v>1038.8</v>
          </cell>
          <cell r="AU4">
            <v>1182.8699999999999</v>
          </cell>
          <cell r="AV4">
            <v>1055.29</v>
          </cell>
          <cell r="AW4">
            <v>1210.67</v>
          </cell>
          <cell r="AX4">
            <v>2284.88</v>
          </cell>
          <cell r="AY4">
            <v>1686.17</v>
          </cell>
          <cell r="AZ4">
            <v>694.73</v>
          </cell>
          <cell r="BA4">
            <v>306.99</v>
          </cell>
          <cell r="BB4">
            <v>477.72</v>
          </cell>
          <cell r="BC4">
            <v>353.59</v>
          </cell>
          <cell r="BD4">
            <v>323.77</v>
          </cell>
          <cell r="BE4">
            <v>574.45000000000005</v>
          </cell>
          <cell r="BF4">
            <v>927.36</v>
          </cell>
          <cell r="BG4">
            <v>1043.47</v>
          </cell>
          <cell r="BH4">
            <v>1367.46</v>
          </cell>
          <cell r="BI4">
            <v>106.59</v>
          </cell>
          <cell r="BJ4">
            <v>633.16</v>
          </cell>
          <cell r="BK4">
            <v>2167.66</v>
          </cell>
          <cell r="BL4">
            <v>121.01</v>
          </cell>
          <cell r="BM4">
            <v>341.82</v>
          </cell>
          <cell r="BN4">
            <v>650.87</v>
          </cell>
          <cell r="BO4">
            <v>100.05</v>
          </cell>
          <cell r="BP4">
            <v>289.8</v>
          </cell>
          <cell r="BQ4">
            <v>887.2</v>
          </cell>
          <cell r="BR4">
            <v>-6.05</v>
          </cell>
          <cell r="BS4">
            <v>105.52</v>
          </cell>
          <cell r="BT4">
            <v>901.98</v>
          </cell>
          <cell r="BU4">
            <v>23.29</v>
          </cell>
          <cell r="BV4">
            <v>230.57</v>
          </cell>
          <cell r="BW4">
            <v>24.01</v>
          </cell>
          <cell r="BX4">
            <v>0</v>
          </cell>
          <cell r="BY4">
            <v>0</v>
          </cell>
          <cell r="BZ4">
            <v>-139.77000000000001</v>
          </cell>
          <cell r="CA4">
            <v>-4.67</v>
          </cell>
          <cell r="CB4">
            <v>-346.91</v>
          </cell>
          <cell r="CC4">
            <v>46.14</v>
          </cell>
          <cell r="CD4">
            <v>-477.14</v>
          </cell>
          <cell r="CE4">
            <v>-33.76</v>
          </cell>
          <cell r="CF4">
            <v>-0.01</v>
          </cell>
          <cell r="CG4">
            <v>-152.55000000000001</v>
          </cell>
          <cell r="CH4">
            <v>-135.34</v>
          </cell>
          <cell r="CI4">
            <v>-263.37</v>
          </cell>
          <cell r="CJ4">
            <v>0</v>
          </cell>
          <cell r="CK4">
            <v>0</v>
          </cell>
          <cell r="CL4">
            <v>621.1</v>
          </cell>
          <cell r="CM4">
            <v>621.1</v>
          </cell>
          <cell r="CN4">
            <v>425.47</v>
          </cell>
          <cell r="CO4">
            <v>202.97</v>
          </cell>
          <cell r="CP4">
            <v>265.57</v>
          </cell>
          <cell r="CQ4">
            <v>519.34</v>
          </cell>
          <cell r="CR4">
            <v>519.34</v>
          </cell>
          <cell r="CS4">
            <v>416.15</v>
          </cell>
          <cell r="CT4">
            <v>173</v>
          </cell>
          <cell r="CU4">
            <v>700</v>
          </cell>
          <cell r="CV4">
            <v>2454.2199999999998</v>
          </cell>
          <cell r="CW4">
            <v>0</v>
          </cell>
          <cell r="CX4">
            <v>0</v>
          </cell>
          <cell r="CY4">
            <v>0</v>
          </cell>
          <cell r="CZ4">
            <v>0</v>
          </cell>
          <cell r="DA4">
            <v>0</v>
          </cell>
          <cell r="DB4">
            <v>2999.7772</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S4">
            <v>0</v>
          </cell>
          <cell r="ET4">
            <v>0</v>
          </cell>
          <cell r="EU4">
            <v>0</v>
          </cell>
          <cell r="EV4">
            <v>0</v>
          </cell>
          <cell r="EW4">
            <v>0</v>
          </cell>
          <cell r="EX4">
            <v>0</v>
          </cell>
          <cell r="EY4">
            <v>0</v>
          </cell>
          <cell r="EZ4">
            <v>0</v>
          </cell>
          <cell r="FA4">
            <v>0</v>
          </cell>
          <cell r="FB4">
            <v>0</v>
          </cell>
          <cell r="FC4">
            <v>79812.940799999997</v>
          </cell>
          <cell r="FD4" t="str">
            <v>预计剩余货值取自MIN评估及已售*0.8</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595.23</v>
          </cell>
          <cell r="BL5">
            <v>0</v>
          </cell>
          <cell r="BM5">
            <v>0</v>
          </cell>
          <cell r="BN5">
            <v>0</v>
          </cell>
          <cell r="BO5">
            <v>780.2</v>
          </cell>
          <cell r="BP5">
            <v>59.34</v>
          </cell>
          <cell r="BQ5">
            <v>0</v>
          </cell>
          <cell r="BR5">
            <v>0</v>
          </cell>
          <cell r="BS5">
            <v>0</v>
          </cell>
          <cell r="BT5">
            <v>0</v>
          </cell>
          <cell r="BU5">
            <v>0</v>
          </cell>
          <cell r="BV5">
            <v>-839.54</v>
          </cell>
          <cell r="BW5">
            <v>0</v>
          </cell>
          <cell r="BX5">
            <v>0</v>
          </cell>
          <cell r="BY5">
            <v>0</v>
          </cell>
          <cell r="BZ5">
            <v>0</v>
          </cell>
          <cell r="CA5">
            <v>0</v>
          </cell>
          <cell r="CB5">
            <v>0</v>
          </cell>
          <cell r="CC5">
            <v>0</v>
          </cell>
          <cell r="CD5">
            <v>11.82</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S5">
            <v>0</v>
          </cell>
          <cell r="ET5">
            <v>0</v>
          </cell>
          <cell r="EU5">
            <v>0</v>
          </cell>
          <cell r="EV5">
            <v>0</v>
          </cell>
          <cell r="EW5">
            <v>0</v>
          </cell>
          <cell r="EX5">
            <v>0</v>
          </cell>
          <cell r="EY5">
            <v>0</v>
          </cell>
          <cell r="EZ5">
            <v>0</v>
          </cell>
          <cell r="FA5">
            <v>0</v>
          </cell>
          <cell r="FB5">
            <v>0</v>
          </cell>
          <cell r="FC5">
            <v>0</v>
          </cell>
          <cell r="FD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0.04</v>
          </cell>
          <cell r="AB6">
            <v>0</v>
          </cell>
          <cell r="AC6">
            <v>0</v>
          </cell>
          <cell r="AD6">
            <v>0.01</v>
          </cell>
          <cell r="AE6">
            <v>0</v>
          </cell>
          <cell r="AF6">
            <v>15</v>
          </cell>
          <cell r="AG6">
            <v>-4.5</v>
          </cell>
          <cell r="AH6">
            <v>3</v>
          </cell>
          <cell r="AI6">
            <v>499.93</v>
          </cell>
          <cell r="AJ6">
            <v>-27.06</v>
          </cell>
          <cell r="AK6">
            <v>0</v>
          </cell>
          <cell r="AL6">
            <v>-948.57</v>
          </cell>
          <cell r="AM6">
            <v>11.93</v>
          </cell>
          <cell r="AN6">
            <v>-0.02</v>
          </cell>
          <cell r="AO6">
            <v>-1.9999999999998901E-2</v>
          </cell>
          <cell r="AP6">
            <v>8.6299999999999599</v>
          </cell>
          <cell r="AQ6">
            <v>-2.00000000001796E-2</v>
          </cell>
          <cell r="AR6">
            <v>-1.00000000000364E-2</v>
          </cell>
          <cell r="AS6">
            <v>6.6199999999999699</v>
          </cell>
          <cell r="AT6">
            <v>-5.9999999999890898E-2</v>
          </cell>
          <cell r="AU6">
            <v>-3.0000000000045501E-2</v>
          </cell>
          <cell r="AV6">
            <v>4.6799999999997404</v>
          </cell>
          <cell r="AW6">
            <v>-1.00000000000819E-2</v>
          </cell>
          <cell r="AX6">
            <v>-8.3200000000006202</v>
          </cell>
          <cell r="AY6">
            <v>0.83000000000006402</v>
          </cell>
          <cell r="AZ6">
            <v>-0.04</v>
          </cell>
          <cell r="BA6">
            <v>-9.0951551845463996E-15</v>
          </cell>
          <cell r="BB6">
            <v>0.430000000000128</v>
          </cell>
          <cell r="BC6">
            <v>1.00000000000023E-2</v>
          </cell>
          <cell r="BD6">
            <v>2.2759572004815701E-15</v>
          </cell>
          <cell r="BE6">
            <v>-9.9999999999681594E-3</v>
          </cell>
          <cell r="BF6">
            <v>-0.04</v>
          </cell>
          <cell r="BG6">
            <v>-9.0951551845463996E-15</v>
          </cell>
          <cell r="BH6">
            <v>-4.00000000000637E-2</v>
          </cell>
          <cell r="BI6">
            <v>0</v>
          </cell>
          <cell r="BJ6">
            <v>-3.00000000000364E-2</v>
          </cell>
          <cell r="BK6">
            <v>586.99</v>
          </cell>
          <cell r="BL6">
            <v>-3.03000000000001</v>
          </cell>
          <cell r="BM6">
            <v>-0.56999999999996998</v>
          </cell>
          <cell r="BN6">
            <v>-0.39999999999985397</v>
          </cell>
          <cell r="BO6">
            <v>-0.570000000000079</v>
          </cell>
          <cell r="BP6">
            <v>-0.56999999999996098</v>
          </cell>
          <cell r="BQ6">
            <v>-0.42999999999997701</v>
          </cell>
          <cell r="BR6">
            <v>-0.4</v>
          </cell>
          <cell r="BS6">
            <v>-0.57999999999998098</v>
          </cell>
          <cell r="BT6">
            <v>-0.33000000000007301</v>
          </cell>
          <cell r="BU6">
            <v>-1.27675647831893E-15</v>
          </cell>
          <cell r="BV6">
            <v>2.2759572004815701E-15</v>
          </cell>
          <cell r="BW6">
            <v>5.0000000000005103E-2</v>
          </cell>
          <cell r="BX6">
            <v>0</v>
          </cell>
          <cell r="BY6">
            <v>1</v>
          </cell>
          <cell r="BZ6">
            <v>1.3500000000000101</v>
          </cell>
          <cell r="CA6">
            <v>0</v>
          </cell>
          <cell r="CB6">
            <v>0.45000000000004498</v>
          </cell>
          <cell r="CC6">
            <v>1.46999999999998</v>
          </cell>
          <cell r="CD6">
            <v>0</v>
          </cell>
          <cell r="CE6">
            <v>1.33</v>
          </cell>
          <cell r="CF6">
            <v>1.39</v>
          </cell>
          <cell r="CG6">
            <v>-7.9936057773011302E-15</v>
          </cell>
          <cell r="CH6">
            <v>0.95999999999998997</v>
          </cell>
          <cell r="CI6">
            <v>0.78</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S6">
            <v>0</v>
          </cell>
          <cell r="ET6">
            <v>0</v>
          </cell>
          <cell r="EU6">
            <v>0</v>
          </cell>
          <cell r="EV6">
            <v>0</v>
          </cell>
          <cell r="EW6">
            <v>0</v>
          </cell>
          <cell r="EX6">
            <v>0</v>
          </cell>
          <cell r="EY6">
            <v>0</v>
          </cell>
          <cell r="EZ6">
            <v>0</v>
          </cell>
          <cell r="FA6">
            <v>0</v>
          </cell>
          <cell r="FB6">
            <v>0</v>
          </cell>
          <cell r="FC6">
            <v>0</v>
          </cell>
          <cell r="FD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2</v>
          </cell>
          <cell r="AB7">
            <v>13.79</v>
          </cell>
          <cell r="AC7">
            <v>1.97</v>
          </cell>
          <cell r="AD7">
            <v>2.31</v>
          </cell>
          <cell r="AE7">
            <v>2</v>
          </cell>
          <cell r="AF7">
            <v>2</v>
          </cell>
          <cell r="AG7">
            <v>10.130000000000001</v>
          </cell>
          <cell r="AH7">
            <v>10798.15</v>
          </cell>
          <cell r="AI7">
            <v>2380.86</v>
          </cell>
          <cell r="AJ7">
            <v>8102.54</v>
          </cell>
          <cell r="AK7">
            <v>2499.7600000000002</v>
          </cell>
          <cell r="AL7">
            <v>39.72</v>
          </cell>
          <cell r="AM7">
            <v>601.44000000000005</v>
          </cell>
          <cell r="AN7">
            <v>19795.04</v>
          </cell>
          <cell r="AO7">
            <v>217.46</v>
          </cell>
          <cell r="AP7">
            <v>1580.91</v>
          </cell>
          <cell r="AQ7">
            <v>2402.06</v>
          </cell>
          <cell r="AR7">
            <v>302.37</v>
          </cell>
          <cell r="AS7">
            <v>516.96</v>
          </cell>
          <cell r="AT7">
            <v>611.77</v>
          </cell>
          <cell r="AU7">
            <v>919</v>
          </cell>
          <cell r="AV7">
            <v>1896.73</v>
          </cell>
          <cell r="AW7">
            <v>1305.93</v>
          </cell>
          <cell r="AX7">
            <v>1993.22</v>
          </cell>
          <cell r="AY7">
            <v>1259.01</v>
          </cell>
          <cell r="AZ7">
            <v>487.09</v>
          </cell>
          <cell r="BA7">
            <v>582.38</v>
          </cell>
          <cell r="BB7">
            <v>564.29</v>
          </cell>
          <cell r="BC7">
            <v>207.45</v>
          </cell>
          <cell r="BD7">
            <v>247.22</v>
          </cell>
          <cell r="BE7">
            <v>98.71</v>
          </cell>
          <cell r="BF7">
            <v>211.68</v>
          </cell>
          <cell r="BG7">
            <v>100.66</v>
          </cell>
          <cell r="BH7">
            <v>96.43</v>
          </cell>
          <cell r="BI7">
            <v>91.54</v>
          </cell>
          <cell r="BJ7">
            <v>971.91</v>
          </cell>
          <cell r="BK7">
            <v>4974.72</v>
          </cell>
          <cell r="BL7">
            <v>9887.52</v>
          </cell>
          <cell r="BM7">
            <v>982.29</v>
          </cell>
          <cell r="BN7">
            <v>784.61</v>
          </cell>
          <cell r="BO7">
            <v>112.08</v>
          </cell>
          <cell r="BP7">
            <v>90.05</v>
          </cell>
          <cell r="BQ7">
            <v>1824.15</v>
          </cell>
          <cell r="BR7">
            <v>541.69000000000005</v>
          </cell>
          <cell r="BS7">
            <v>336.46</v>
          </cell>
          <cell r="BT7">
            <v>1182.44</v>
          </cell>
          <cell r="BU7">
            <v>1406.59</v>
          </cell>
          <cell r="BV7">
            <v>-663</v>
          </cell>
          <cell r="BW7">
            <v>815.46</v>
          </cell>
          <cell r="BX7">
            <v>203.56</v>
          </cell>
          <cell r="BY7">
            <v>579.85</v>
          </cell>
          <cell r="BZ7">
            <v>328.39</v>
          </cell>
          <cell r="CA7">
            <v>211.49</v>
          </cell>
          <cell r="CB7">
            <v>430.64</v>
          </cell>
          <cell r="CC7">
            <v>1936.51</v>
          </cell>
          <cell r="CD7">
            <v>442.26</v>
          </cell>
          <cell r="CE7">
            <v>678.59</v>
          </cell>
          <cell r="CF7">
            <v>1163.99</v>
          </cell>
          <cell r="CG7">
            <v>4252.45</v>
          </cell>
          <cell r="CH7">
            <v>365.36</v>
          </cell>
          <cell r="CI7">
            <v>314.52</v>
          </cell>
          <cell r="CJ7">
            <v>2039.9346459799999</v>
          </cell>
          <cell r="CK7">
            <v>10.215401</v>
          </cell>
          <cell r="CL7">
            <v>36.370901000000003</v>
          </cell>
          <cell r="CM7">
            <v>73.668560859999999</v>
          </cell>
          <cell r="CN7">
            <v>332.06753586000002</v>
          </cell>
          <cell r="CO7">
            <v>53.101706499999999</v>
          </cell>
          <cell r="CP7">
            <v>369.39582052999998</v>
          </cell>
          <cell r="CQ7">
            <v>17.944678979999999</v>
          </cell>
          <cell r="CR7">
            <v>125.58411384</v>
          </cell>
          <cell r="CS7">
            <v>44.873720570000003</v>
          </cell>
          <cell r="CT7">
            <v>1329.76181109</v>
          </cell>
          <cell r="CU7">
            <v>1210.6409450399999</v>
          </cell>
          <cell r="CV7">
            <v>882.09704407000004</v>
          </cell>
          <cell r="CW7">
            <v>0</v>
          </cell>
          <cell r="CX7">
            <v>0</v>
          </cell>
          <cell r="CY7">
            <v>0</v>
          </cell>
          <cell r="CZ7">
            <v>0</v>
          </cell>
          <cell r="DA7">
            <v>0</v>
          </cell>
          <cell r="DB7">
            <v>1191.6701070300001</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S7">
            <v>0</v>
          </cell>
          <cell r="ET7">
            <v>0</v>
          </cell>
          <cell r="EU7">
            <v>0</v>
          </cell>
          <cell r="EV7">
            <v>0</v>
          </cell>
          <cell r="EW7">
            <v>0</v>
          </cell>
          <cell r="EX7">
            <v>0</v>
          </cell>
          <cell r="EY7">
            <v>0</v>
          </cell>
          <cell r="EZ7">
            <v>0</v>
          </cell>
          <cell r="FA7">
            <v>0</v>
          </cell>
          <cell r="FB7">
            <v>0</v>
          </cell>
          <cell r="FC7">
            <v>31038.618469810001</v>
          </cell>
          <cell r="FD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10788</v>
          </cell>
          <cell r="AI8">
            <v>2353.52</v>
          </cell>
          <cell r="AJ8">
            <v>8070.32</v>
          </cell>
          <cell r="AK8">
            <v>2440.21</v>
          </cell>
          <cell r="AL8">
            <v>0</v>
          </cell>
          <cell r="AM8">
            <v>0</v>
          </cell>
          <cell r="AN8">
            <v>19021</v>
          </cell>
          <cell r="AO8">
            <v>0</v>
          </cell>
          <cell r="AP8">
            <v>770.35</v>
          </cell>
          <cell r="AQ8">
            <v>0</v>
          </cell>
          <cell r="AR8">
            <v>0</v>
          </cell>
          <cell r="AS8">
            <v>0</v>
          </cell>
          <cell r="AT8">
            <v>0</v>
          </cell>
          <cell r="AU8">
            <v>0</v>
          </cell>
          <cell r="AV8">
            <v>0</v>
          </cell>
          <cell r="AW8">
            <v>0</v>
          </cell>
          <cell r="AX8">
            <v>0</v>
          </cell>
          <cell r="AY8">
            <v>0</v>
          </cell>
          <cell r="AZ8">
            <v>0</v>
          </cell>
          <cell r="BA8">
            <v>0</v>
          </cell>
          <cell r="BB8">
            <v>97.61</v>
          </cell>
          <cell r="BC8">
            <v>0</v>
          </cell>
          <cell r="BD8">
            <v>0</v>
          </cell>
          <cell r="BE8">
            <v>0</v>
          </cell>
          <cell r="BF8">
            <v>0</v>
          </cell>
          <cell r="BG8">
            <v>0</v>
          </cell>
          <cell r="BH8">
            <v>0</v>
          </cell>
          <cell r="BI8">
            <v>0</v>
          </cell>
          <cell r="BJ8">
            <v>0</v>
          </cell>
          <cell r="BK8">
            <v>0</v>
          </cell>
          <cell r="BL8">
            <v>0</v>
          </cell>
          <cell r="BM8">
            <v>27.52</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S8">
            <v>0</v>
          </cell>
          <cell r="ET8">
            <v>0</v>
          </cell>
          <cell r="EU8">
            <v>0</v>
          </cell>
          <cell r="EV8">
            <v>0</v>
          </cell>
          <cell r="EW8">
            <v>0</v>
          </cell>
          <cell r="EX8">
            <v>0</v>
          </cell>
          <cell r="EY8">
            <v>0</v>
          </cell>
          <cell r="EZ8">
            <v>0</v>
          </cell>
          <cell r="FA8">
            <v>0</v>
          </cell>
          <cell r="FB8">
            <v>0</v>
          </cell>
          <cell r="FC8">
            <v>0</v>
          </cell>
          <cell r="FD8" t="str">
            <v>预计数取自22年预算开发成本</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15.57</v>
          </cell>
          <cell r="AM9">
            <v>514.9</v>
          </cell>
          <cell r="AN9">
            <v>678.16</v>
          </cell>
          <cell r="AO9">
            <v>38.11</v>
          </cell>
          <cell r="AP9">
            <v>273.77999999999997</v>
          </cell>
          <cell r="AQ9">
            <v>2015.65</v>
          </cell>
          <cell r="AR9">
            <v>85.79</v>
          </cell>
          <cell r="AS9">
            <v>341.38</v>
          </cell>
          <cell r="AT9">
            <v>461.43</v>
          </cell>
          <cell r="AU9">
            <v>754.22</v>
          </cell>
          <cell r="AV9">
            <v>1686.4</v>
          </cell>
          <cell r="AW9">
            <v>1085.6199999999999</v>
          </cell>
          <cell r="AX9">
            <v>1849.29</v>
          </cell>
          <cell r="AY9">
            <v>1125.4100000000001</v>
          </cell>
          <cell r="AZ9">
            <v>318.08</v>
          </cell>
          <cell r="BA9">
            <v>351.32</v>
          </cell>
          <cell r="BB9">
            <v>44.58</v>
          </cell>
          <cell r="BC9">
            <v>49.65</v>
          </cell>
          <cell r="BD9">
            <v>30</v>
          </cell>
          <cell r="BE9">
            <v>0</v>
          </cell>
          <cell r="BF9">
            <v>134.47</v>
          </cell>
          <cell r="BG9">
            <v>36.26</v>
          </cell>
          <cell r="BH9">
            <v>0</v>
          </cell>
          <cell r="BI9">
            <v>20</v>
          </cell>
          <cell r="BJ9">
            <v>879.85</v>
          </cell>
          <cell r="BK9">
            <v>4704.25</v>
          </cell>
          <cell r="BL9">
            <v>9409.02</v>
          </cell>
          <cell r="BM9">
            <v>831.39</v>
          </cell>
          <cell r="BN9">
            <v>681.48</v>
          </cell>
          <cell r="BO9">
            <v>59.06</v>
          </cell>
          <cell r="BP9">
            <v>10.36</v>
          </cell>
          <cell r="BQ9">
            <v>1595.65</v>
          </cell>
          <cell r="BR9">
            <v>400.3</v>
          </cell>
          <cell r="BS9">
            <v>302.75</v>
          </cell>
          <cell r="BT9">
            <v>1020.04</v>
          </cell>
          <cell r="BU9">
            <v>1366.33</v>
          </cell>
          <cell r="BV9">
            <v>119.42</v>
          </cell>
          <cell r="BW9">
            <v>778.31</v>
          </cell>
          <cell r="BX9">
            <v>137.66999999999999</v>
          </cell>
          <cell r="BY9">
            <v>558.78</v>
          </cell>
          <cell r="BZ9">
            <v>290.19</v>
          </cell>
          <cell r="CA9">
            <v>179.85</v>
          </cell>
          <cell r="CB9">
            <v>292.2</v>
          </cell>
          <cell r="CC9">
            <v>1899.34</v>
          </cell>
          <cell r="CD9">
            <v>398.48</v>
          </cell>
          <cell r="CE9">
            <v>671.2</v>
          </cell>
          <cell r="CF9">
            <v>895.46</v>
          </cell>
          <cell r="CG9">
            <v>4226.54</v>
          </cell>
          <cell r="CH9">
            <v>252.6</v>
          </cell>
          <cell r="CI9">
            <v>54.71</v>
          </cell>
          <cell r="CJ9">
            <v>1998.7340630000001</v>
          </cell>
          <cell r="CK9">
            <v>0</v>
          </cell>
          <cell r="CL9">
            <v>29.92</v>
          </cell>
          <cell r="CM9">
            <v>28.172345</v>
          </cell>
          <cell r="CN9">
            <v>300</v>
          </cell>
          <cell r="CO9">
            <v>0</v>
          </cell>
          <cell r="CP9">
            <v>300</v>
          </cell>
          <cell r="CQ9">
            <v>0</v>
          </cell>
          <cell r="CR9">
            <v>100</v>
          </cell>
          <cell r="CS9">
            <v>0</v>
          </cell>
          <cell r="CT9">
            <v>1309</v>
          </cell>
          <cell r="CU9">
            <v>1157</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S9">
            <v>0</v>
          </cell>
          <cell r="ET9">
            <v>0</v>
          </cell>
          <cell r="EU9">
            <v>0</v>
          </cell>
          <cell r="EV9">
            <v>0</v>
          </cell>
          <cell r="EW9">
            <v>0</v>
          </cell>
          <cell r="EX9">
            <v>0</v>
          </cell>
          <cell r="EY9">
            <v>0</v>
          </cell>
          <cell r="EZ9">
            <v>0</v>
          </cell>
          <cell r="FA9">
            <v>0</v>
          </cell>
          <cell r="FB9">
            <v>0</v>
          </cell>
          <cell r="FC9">
            <v>26177.773592000001</v>
          </cell>
          <cell r="FD9" t="str">
            <v>预计数取自为22年预算开发成本</v>
          </cell>
        </row>
        <row r="10">
          <cell r="C10">
            <v>2984.8685252400001</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11.79</v>
          </cell>
          <cell r="AC10">
            <v>0</v>
          </cell>
          <cell r="AD10">
            <v>0.26</v>
          </cell>
          <cell r="AE10">
            <v>0</v>
          </cell>
          <cell r="AF10">
            <v>0</v>
          </cell>
          <cell r="AG10">
            <v>8.1300000000000008</v>
          </cell>
          <cell r="AH10">
            <v>8.1199999999999992</v>
          </cell>
          <cell r="AI10">
            <v>7.74</v>
          </cell>
          <cell r="AJ10">
            <v>9.0500000000000007</v>
          </cell>
          <cell r="AK10">
            <v>13.3</v>
          </cell>
          <cell r="AL10">
            <v>7.0000000000000007E-2</v>
          </cell>
          <cell r="AM10">
            <v>4.43</v>
          </cell>
          <cell r="AN10">
            <v>41.92</v>
          </cell>
          <cell r="AO10">
            <v>0.21</v>
          </cell>
          <cell r="AP10">
            <v>65.680000000000007</v>
          </cell>
          <cell r="AQ10">
            <v>0.33</v>
          </cell>
          <cell r="AR10">
            <v>3.75</v>
          </cell>
          <cell r="AS10">
            <v>5.07</v>
          </cell>
          <cell r="AT10">
            <v>7.51</v>
          </cell>
          <cell r="AU10">
            <v>5.69</v>
          </cell>
          <cell r="AV10">
            <v>8.69</v>
          </cell>
          <cell r="AW10">
            <v>3.79</v>
          </cell>
          <cell r="AX10">
            <v>19.66</v>
          </cell>
          <cell r="AY10">
            <v>3.74</v>
          </cell>
          <cell r="AZ10">
            <v>10.65</v>
          </cell>
          <cell r="BA10">
            <v>9.93</v>
          </cell>
          <cell r="BB10">
            <v>1.56</v>
          </cell>
          <cell r="BC10">
            <v>6.33</v>
          </cell>
          <cell r="BD10">
            <v>0.06</v>
          </cell>
          <cell r="BE10">
            <v>6.27</v>
          </cell>
          <cell r="BF10">
            <v>0.02</v>
          </cell>
          <cell r="BG10">
            <v>0</v>
          </cell>
          <cell r="BH10">
            <v>0</v>
          </cell>
          <cell r="BI10">
            <v>0</v>
          </cell>
          <cell r="BJ10">
            <v>10.85</v>
          </cell>
          <cell r="BK10">
            <v>28.21</v>
          </cell>
          <cell r="BL10">
            <v>9.16</v>
          </cell>
          <cell r="BM10">
            <v>57.81</v>
          </cell>
          <cell r="BN10">
            <v>7.38</v>
          </cell>
          <cell r="BO10">
            <v>3.75</v>
          </cell>
          <cell r="BP10">
            <v>2.99</v>
          </cell>
          <cell r="BQ10">
            <v>0.1</v>
          </cell>
          <cell r="BR10">
            <v>1.43</v>
          </cell>
          <cell r="BS10">
            <v>0.9</v>
          </cell>
          <cell r="BT10">
            <v>44.17</v>
          </cell>
          <cell r="BU10">
            <v>6.59</v>
          </cell>
          <cell r="BV10">
            <v>6.39</v>
          </cell>
          <cell r="BW10">
            <v>7.13</v>
          </cell>
          <cell r="BX10">
            <v>3.65</v>
          </cell>
          <cell r="BY10">
            <v>4.38</v>
          </cell>
          <cell r="BZ10">
            <v>0.89</v>
          </cell>
          <cell r="CA10">
            <v>0.8</v>
          </cell>
          <cell r="CB10">
            <v>0.28000000000000003</v>
          </cell>
          <cell r="CC10">
            <v>6.36</v>
          </cell>
          <cell r="CD10">
            <v>15.43</v>
          </cell>
          <cell r="CE10">
            <v>1.62</v>
          </cell>
          <cell r="CF10">
            <v>6.08</v>
          </cell>
          <cell r="CG10">
            <v>12.17</v>
          </cell>
          <cell r="CH10">
            <v>95.99</v>
          </cell>
          <cell r="CI10">
            <v>30.05</v>
          </cell>
          <cell r="CJ10">
            <v>14.84988117</v>
          </cell>
          <cell r="CK10">
            <v>3.6602260000000002</v>
          </cell>
          <cell r="CL10">
            <v>3.900226</v>
          </cell>
          <cell r="CM10">
            <v>3.6602260000000002</v>
          </cell>
          <cell r="CN10">
            <v>3.6602260000000002</v>
          </cell>
          <cell r="CO10">
            <v>13.900226</v>
          </cell>
          <cell r="CP10">
            <v>4.1602259999999998</v>
          </cell>
          <cell r="CQ10">
            <v>3.6602260000000002</v>
          </cell>
          <cell r="CR10">
            <v>3.900226</v>
          </cell>
          <cell r="CS10">
            <v>3.6602260000000002</v>
          </cell>
          <cell r="CT10">
            <v>3.6602260000000002</v>
          </cell>
          <cell r="CU10">
            <v>24.310226</v>
          </cell>
          <cell r="CV10">
            <v>70.56</v>
          </cell>
          <cell r="CW10">
            <v>0</v>
          </cell>
          <cell r="CX10">
            <v>0</v>
          </cell>
          <cell r="CY10">
            <v>0</v>
          </cell>
          <cell r="CZ10">
            <v>0</v>
          </cell>
          <cell r="DA10">
            <v>0</v>
          </cell>
          <cell r="DB10">
            <v>746.92895524000005</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S10">
            <v>0</v>
          </cell>
          <cell r="ET10">
            <v>0</v>
          </cell>
          <cell r="EU10">
            <v>0</v>
          </cell>
          <cell r="EV10">
            <v>0</v>
          </cell>
          <cell r="EW10">
            <v>0</v>
          </cell>
          <cell r="EX10">
            <v>0</v>
          </cell>
          <cell r="EY10">
            <v>0</v>
          </cell>
          <cell r="EZ10">
            <v>0</v>
          </cell>
          <cell r="FA10">
            <v>0</v>
          </cell>
          <cell r="FB10">
            <v>0</v>
          </cell>
          <cell r="FC10">
            <v>1452.08720283</v>
          </cell>
          <cell r="FD10" t="str">
            <v>预计数取自22年预算中23-25年预计数</v>
          </cell>
        </row>
        <row r="11">
          <cell r="C11">
            <v>3976.66</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0.24</v>
          </cell>
          <cell r="AN11">
            <v>0</v>
          </cell>
          <cell r="AO11">
            <v>0</v>
          </cell>
          <cell r="AP11">
            <v>101.87</v>
          </cell>
          <cell r="AQ11">
            <v>160</v>
          </cell>
          <cell r="AR11">
            <v>49.45</v>
          </cell>
          <cell r="AS11">
            <v>31.72</v>
          </cell>
          <cell r="AT11">
            <v>32.75</v>
          </cell>
          <cell r="AU11">
            <v>40.14</v>
          </cell>
          <cell r="AV11">
            <v>76.819999999999993</v>
          </cell>
          <cell r="AW11">
            <v>104.29</v>
          </cell>
          <cell r="AX11">
            <v>45.22</v>
          </cell>
          <cell r="AY11">
            <v>12.27</v>
          </cell>
          <cell r="AZ11">
            <v>78.03</v>
          </cell>
          <cell r="BA11">
            <v>19.010000000000002</v>
          </cell>
          <cell r="BB11">
            <v>305.58999999999997</v>
          </cell>
          <cell r="BC11">
            <v>96.01</v>
          </cell>
          <cell r="BD11">
            <v>110.83</v>
          </cell>
          <cell r="BE11">
            <v>11.48</v>
          </cell>
          <cell r="BF11">
            <v>0</v>
          </cell>
          <cell r="BG11">
            <v>0</v>
          </cell>
          <cell r="BH11">
            <v>0</v>
          </cell>
          <cell r="BI11">
            <v>0</v>
          </cell>
          <cell r="BJ11">
            <v>0</v>
          </cell>
          <cell r="BK11">
            <v>118.81</v>
          </cell>
          <cell r="BL11">
            <v>176.25</v>
          </cell>
          <cell r="BM11">
            <v>15</v>
          </cell>
          <cell r="BN11">
            <v>59.89</v>
          </cell>
          <cell r="BO11">
            <v>0.16</v>
          </cell>
          <cell r="BP11">
            <v>29.68</v>
          </cell>
          <cell r="BQ11">
            <v>0</v>
          </cell>
          <cell r="BR11">
            <v>95.36</v>
          </cell>
          <cell r="BS11">
            <v>16.8</v>
          </cell>
          <cell r="BT11">
            <v>58.86</v>
          </cell>
          <cell r="BU11">
            <v>0</v>
          </cell>
          <cell r="BV11">
            <v>57.2</v>
          </cell>
          <cell r="BW11">
            <v>0</v>
          </cell>
          <cell r="BX11">
            <v>11.95</v>
          </cell>
          <cell r="BY11">
            <v>0</v>
          </cell>
          <cell r="BZ11">
            <v>0</v>
          </cell>
          <cell r="CA11">
            <v>15</v>
          </cell>
          <cell r="CB11">
            <v>123</v>
          </cell>
          <cell r="CC11">
            <v>7.39</v>
          </cell>
          <cell r="CD11">
            <v>0</v>
          </cell>
          <cell r="CE11">
            <v>0</v>
          </cell>
          <cell r="CF11">
            <v>0</v>
          </cell>
          <cell r="CG11">
            <v>0</v>
          </cell>
          <cell r="CH11">
            <v>7</v>
          </cell>
          <cell r="CI11">
            <v>212.23</v>
          </cell>
          <cell r="CJ11">
            <v>0</v>
          </cell>
          <cell r="CK11">
            <v>0</v>
          </cell>
          <cell r="CL11">
            <v>0</v>
          </cell>
          <cell r="CM11">
            <v>0</v>
          </cell>
          <cell r="CN11">
            <v>0</v>
          </cell>
          <cell r="CO11">
            <v>19</v>
          </cell>
          <cell r="CP11">
            <v>0</v>
          </cell>
          <cell r="CQ11">
            <v>0</v>
          </cell>
          <cell r="CR11">
            <v>0</v>
          </cell>
          <cell r="CS11">
            <v>0</v>
          </cell>
          <cell r="CT11">
            <v>0</v>
          </cell>
          <cell r="CU11">
            <v>20</v>
          </cell>
          <cell r="CV11">
            <v>565.17999999999995</v>
          </cell>
          <cell r="CW11">
            <v>0</v>
          </cell>
          <cell r="CX11">
            <v>0</v>
          </cell>
          <cell r="CY11">
            <v>0</v>
          </cell>
          <cell r="CZ11">
            <v>0</v>
          </cell>
          <cell r="DA11">
            <v>0</v>
          </cell>
          <cell r="DB11">
            <v>244</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S11">
            <v>0</v>
          </cell>
          <cell r="ET11">
            <v>0</v>
          </cell>
          <cell r="EU11">
            <v>0</v>
          </cell>
          <cell r="EV11">
            <v>0</v>
          </cell>
          <cell r="EW11">
            <v>0</v>
          </cell>
          <cell r="EX11">
            <v>0</v>
          </cell>
          <cell r="EY11">
            <v>0</v>
          </cell>
          <cell r="EZ11">
            <v>0</v>
          </cell>
          <cell r="FA11">
            <v>0</v>
          </cell>
          <cell r="FB11">
            <v>0</v>
          </cell>
          <cell r="FC11">
            <v>848.18</v>
          </cell>
          <cell r="FD11" t="str">
            <v>预计数取自22年预算预计数</v>
          </cell>
        </row>
        <row r="12">
          <cell r="C12">
            <v>2948.2856499999998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2</v>
          </cell>
          <cell r="AB12">
            <v>1.94</v>
          </cell>
          <cell r="AC12">
            <v>1.94</v>
          </cell>
          <cell r="AD12">
            <v>2.0299999999999998</v>
          </cell>
          <cell r="AE12">
            <v>2</v>
          </cell>
          <cell r="AF12">
            <v>2</v>
          </cell>
          <cell r="AG12">
            <v>2</v>
          </cell>
          <cell r="AH12">
            <v>2</v>
          </cell>
          <cell r="AI12">
            <v>14.18</v>
          </cell>
          <cell r="AJ12">
            <v>22.85</v>
          </cell>
          <cell r="AK12">
            <v>45.47</v>
          </cell>
          <cell r="AL12">
            <v>23.08</v>
          </cell>
          <cell r="AM12">
            <v>67.400000000000006</v>
          </cell>
          <cell r="AN12">
            <v>48.67</v>
          </cell>
          <cell r="AO12">
            <v>179.14</v>
          </cell>
          <cell r="AP12">
            <v>41.74</v>
          </cell>
          <cell r="AQ12">
            <v>78.89</v>
          </cell>
          <cell r="AR12">
            <v>78.989999999999995</v>
          </cell>
          <cell r="AS12">
            <v>62.71</v>
          </cell>
          <cell r="AT12">
            <v>76.7</v>
          </cell>
          <cell r="AU12">
            <v>75.11</v>
          </cell>
          <cell r="AV12">
            <v>80.900000000000006</v>
          </cell>
          <cell r="AW12">
            <v>79.59</v>
          </cell>
          <cell r="AX12">
            <v>50.84</v>
          </cell>
          <cell r="AY12">
            <v>74.739999999999995</v>
          </cell>
          <cell r="AZ12">
            <v>52.93</v>
          </cell>
          <cell r="BA12">
            <v>185.16</v>
          </cell>
          <cell r="BB12">
            <v>59.97</v>
          </cell>
          <cell r="BC12">
            <v>26.06</v>
          </cell>
          <cell r="BD12">
            <v>33.06</v>
          </cell>
          <cell r="BE12">
            <v>22.94</v>
          </cell>
          <cell r="BF12">
            <v>2.23</v>
          </cell>
          <cell r="BG12">
            <v>1.69</v>
          </cell>
          <cell r="BH12">
            <v>4.82</v>
          </cell>
          <cell r="BI12">
            <v>3.66</v>
          </cell>
          <cell r="BJ12">
            <v>20.48</v>
          </cell>
          <cell r="BK12">
            <v>39.270000000000003</v>
          </cell>
          <cell r="BL12">
            <v>87.34</v>
          </cell>
          <cell r="BM12">
            <v>24.24</v>
          </cell>
          <cell r="BN12">
            <v>2.13</v>
          </cell>
          <cell r="BO12">
            <v>30.9</v>
          </cell>
          <cell r="BP12">
            <v>15.43</v>
          </cell>
          <cell r="BQ12">
            <v>16.25</v>
          </cell>
          <cell r="BR12">
            <v>3.04</v>
          </cell>
          <cell r="BS12">
            <v>16</v>
          </cell>
          <cell r="BT12">
            <v>38.51</v>
          </cell>
          <cell r="BU12">
            <v>15.21</v>
          </cell>
          <cell r="BV12">
            <v>19</v>
          </cell>
          <cell r="BW12">
            <v>12.23</v>
          </cell>
          <cell r="BX12">
            <v>49.91</v>
          </cell>
          <cell r="BY12">
            <v>16.62</v>
          </cell>
          <cell r="BZ12">
            <v>19.399999999999999</v>
          </cell>
          <cell r="CA12">
            <v>15.82</v>
          </cell>
          <cell r="CB12">
            <v>15.16</v>
          </cell>
          <cell r="CC12">
            <v>5.94</v>
          </cell>
          <cell r="CD12">
            <v>4.8099999999999996</v>
          </cell>
          <cell r="CE12">
            <v>4.78</v>
          </cell>
          <cell r="CF12">
            <v>6.14</v>
          </cell>
          <cell r="CG12">
            <v>13.73</v>
          </cell>
          <cell r="CH12">
            <v>9.65</v>
          </cell>
          <cell r="CI12">
            <v>0.46</v>
          </cell>
          <cell r="CJ12">
            <v>1.871875</v>
          </cell>
          <cell r="CK12">
            <v>5.359375</v>
          </cell>
          <cell r="CL12">
            <v>1.871875</v>
          </cell>
          <cell r="CM12">
            <v>1.871875</v>
          </cell>
          <cell r="CN12">
            <v>1.871875</v>
          </cell>
          <cell r="CO12">
            <v>1.871875</v>
          </cell>
          <cell r="CP12">
            <v>1.871875</v>
          </cell>
          <cell r="CQ12">
            <v>1.871875</v>
          </cell>
          <cell r="CR12">
            <v>1.871875</v>
          </cell>
          <cell r="CS12">
            <v>1.871875</v>
          </cell>
          <cell r="CT12">
            <v>1.871875</v>
          </cell>
          <cell r="CU12">
            <v>1.871875</v>
          </cell>
          <cell r="CV12">
            <v>16.443024999999999</v>
          </cell>
          <cell r="CW12">
            <v>0</v>
          </cell>
          <cell r="CX12">
            <v>0</v>
          </cell>
          <cell r="CY12">
            <v>0</v>
          </cell>
          <cell r="CZ12">
            <v>0</v>
          </cell>
          <cell r="DA12">
            <v>0</v>
          </cell>
          <cell r="DB12">
            <v>11.725524999999999</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S12">
            <v>0</v>
          </cell>
          <cell r="ET12">
            <v>0</v>
          </cell>
          <cell r="EU12">
            <v>0</v>
          </cell>
          <cell r="EV12">
            <v>0</v>
          </cell>
          <cell r="EW12">
            <v>0</v>
          </cell>
          <cell r="EX12">
            <v>0</v>
          </cell>
          <cell r="EY12">
            <v>0</v>
          </cell>
          <cell r="EZ12">
            <v>0</v>
          </cell>
          <cell r="FA12">
            <v>0</v>
          </cell>
          <cell r="FB12">
            <v>0</v>
          </cell>
          <cell r="FC12">
            <v>882.28710000000001</v>
          </cell>
          <cell r="FD12" t="str">
            <v>预计数取自22年预算中23-25年预计数</v>
          </cell>
        </row>
        <row r="13">
          <cell r="C13">
            <v>3750.0612869199999</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0.06</v>
          </cell>
          <cell r="AC13">
            <v>0.03</v>
          </cell>
          <cell r="AD13">
            <v>0.03</v>
          </cell>
          <cell r="AE13">
            <v>0</v>
          </cell>
          <cell r="AF13">
            <v>0</v>
          </cell>
          <cell r="AG13">
            <v>0</v>
          </cell>
          <cell r="AH13">
            <v>0.03</v>
          </cell>
          <cell r="AI13">
            <v>5.41</v>
          </cell>
          <cell r="AJ13">
            <v>0.3</v>
          </cell>
          <cell r="AK13">
            <v>0.78</v>
          </cell>
          <cell r="AL13">
            <v>1</v>
          </cell>
          <cell r="AM13">
            <v>11.87</v>
          </cell>
          <cell r="AN13">
            <v>5.28</v>
          </cell>
          <cell r="AO13">
            <v>0</v>
          </cell>
          <cell r="AP13">
            <v>320.73</v>
          </cell>
          <cell r="AQ13">
            <v>147.19999999999999</v>
          </cell>
          <cell r="AR13">
            <v>84.39</v>
          </cell>
          <cell r="AS13">
            <v>76.069999999999993</v>
          </cell>
          <cell r="AT13">
            <v>33.369999999999997</v>
          </cell>
          <cell r="AU13">
            <v>43.84</v>
          </cell>
          <cell r="AV13">
            <v>43.91</v>
          </cell>
          <cell r="AW13">
            <v>32.64</v>
          </cell>
          <cell r="AX13">
            <v>28.2</v>
          </cell>
          <cell r="AY13">
            <v>42.84</v>
          </cell>
          <cell r="AZ13">
            <v>27.41</v>
          </cell>
          <cell r="BA13">
            <v>16.95</v>
          </cell>
          <cell r="BB13">
            <v>35.74</v>
          </cell>
          <cell r="BC13">
            <v>29.39</v>
          </cell>
          <cell r="BD13">
            <v>73.27</v>
          </cell>
          <cell r="BE13">
            <v>58.03</v>
          </cell>
          <cell r="BF13">
            <v>74.959999999999994</v>
          </cell>
          <cell r="BG13">
            <v>62.71</v>
          </cell>
          <cell r="BH13">
            <v>91.61</v>
          </cell>
          <cell r="BI13">
            <v>67.88</v>
          </cell>
          <cell r="BJ13">
            <v>60.73</v>
          </cell>
          <cell r="BK13">
            <v>77.180000000000007</v>
          </cell>
          <cell r="BL13">
            <v>205.76</v>
          </cell>
          <cell r="BM13">
            <v>26.34</v>
          </cell>
          <cell r="BN13">
            <v>33.75</v>
          </cell>
          <cell r="BO13">
            <v>18.2</v>
          </cell>
          <cell r="BP13">
            <v>31.59</v>
          </cell>
          <cell r="BQ13">
            <v>212.14</v>
          </cell>
          <cell r="BR13">
            <v>41.11</v>
          </cell>
          <cell r="BS13">
            <v>0</v>
          </cell>
          <cell r="BT13">
            <v>20.86</v>
          </cell>
          <cell r="BU13">
            <v>18.45</v>
          </cell>
          <cell r="BV13">
            <v>-865.01</v>
          </cell>
          <cell r="BW13">
            <v>17.78</v>
          </cell>
          <cell r="BX13">
            <v>0.33</v>
          </cell>
          <cell r="BY13">
            <v>0</v>
          </cell>
          <cell r="BZ13">
            <v>17.78</v>
          </cell>
          <cell r="CA13">
            <v>0</v>
          </cell>
          <cell r="CB13">
            <v>0</v>
          </cell>
          <cell r="CC13">
            <v>17.46</v>
          </cell>
          <cell r="CD13">
            <v>0.04</v>
          </cell>
          <cell r="CE13">
            <v>0</v>
          </cell>
          <cell r="CF13">
            <v>16.809999999999999</v>
          </cell>
          <cell r="CG13">
            <v>0</v>
          </cell>
          <cell r="CH13">
            <v>0</v>
          </cell>
          <cell r="CI13">
            <v>16.809999999999999</v>
          </cell>
          <cell r="CJ13">
            <v>24.478826810000001</v>
          </cell>
          <cell r="CK13">
            <v>1.1958</v>
          </cell>
          <cell r="CL13">
            <v>0.67879999999999996</v>
          </cell>
          <cell r="CM13">
            <v>39.964114860000002</v>
          </cell>
          <cell r="CN13">
            <v>26.535434859999999</v>
          </cell>
          <cell r="CO13">
            <v>18.3296055</v>
          </cell>
          <cell r="CP13">
            <v>63.363719529999997</v>
          </cell>
          <cell r="CQ13">
            <v>12.41257798</v>
          </cell>
          <cell r="CR13">
            <v>19.812012840000001</v>
          </cell>
          <cell r="CS13">
            <v>39.341619569999999</v>
          </cell>
          <cell r="CT13">
            <v>15.229710089999999</v>
          </cell>
          <cell r="CU13">
            <v>7.4588440399999998</v>
          </cell>
          <cell r="CV13">
            <v>229.91401906999999</v>
          </cell>
          <cell r="CW13">
            <v>0</v>
          </cell>
          <cell r="CX13">
            <v>0</v>
          </cell>
          <cell r="CY13">
            <v>0</v>
          </cell>
          <cell r="CZ13">
            <v>0</v>
          </cell>
          <cell r="DA13">
            <v>0</v>
          </cell>
          <cell r="DB13">
            <v>189.01562679</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S13">
            <v>0</v>
          </cell>
          <cell r="ET13">
            <v>0</v>
          </cell>
          <cell r="EU13">
            <v>0</v>
          </cell>
          <cell r="EV13">
            <v>0</v>
          </cell>
          <cell r="EW13">
            <v>0</v>
          </cell>
          <cell r="EX13">
            <v>0</v>
          </cell>
          <cell r="EY13">
            <v>0</v>
          </cell>
          <cell r="EZ13">
            <v>0</v>
          </cell>
          <cell r="FA13">
            <v>0</v>
          </cell>
          <cell r="FB13">
            <v>0</v>
          </cell>
          <cell r="FC13">
            <v>1678.29057498</v>
          </cell>
          <cell r="FD13" t="str">
            <v>取自税金预测表</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-9.9999999999995596E-3</v>
          </cell>
          <cell r="AE14">
            <v>0</v>
          </cell>
          <cell r="AF14">
            <v>0</v>
          </cell>
          <cell r="AG14">
            <v>0</v>
          </cell>
          <cell r="AH14">
            <v>0</v>
          </cell>
          <cell r="AI14">
            <v>1.00000000000477E-2</v>
          </cell>
          <cell r="AJ14">
            <v>2.00000000002163E-2</v>
          </cell>
          <cell r="AK14">
            <v>0</v>
          </cell>
          <cell r="AL14">
            <v>0</v>
          </cell>
          <cell r="AM14">
            <v>2.6</v>
          </cell>
          <cell r="AN14">
            <v>1.00000000056752E-2</v>
          </cell>
          <cell r="AO14">
            <v>2.1316282072802999E-14</v>
          </cell>
          <cell r="AP14">
            <v>6.75999999999999</v>
          </cell>
          <cell r="AQ14">
            <v>-9.9999999997635296E-3</v>
          </cell>
          <cell r="AR14">
            <v>0</v>
          </cell>
          <cell r="AS14">
            <v>9.9999999999340599E-3</v>
          </cell>
          <cell r="AT14">
            <v>9.9999999999909103E-3</v>
          </cell>
          <cell r="AU14">
            <v>0</v>
          </cell>
          <cell r="AV14">
            <v>9.9999999999909103E-3</v>
          </cell>
          <cell r="AW14">
            <v>0</v>
          </cell>
          <cell r="AX14">
            <v>9.9999999999909103E-3</v>
          </cell>
          <cell r="AY14">
            <v>9.9999999998772199E-3</v>
          </cell>
          <cell r="AZ14">
            <v>-1.00000000000051E-2</v>
          </cell>
          <cell r="BA14">
            <v>9.9999999999340599E-3</v>
          </cell>
          <cell r="BB14">
            <v>19.239999999999998</v>
          </cell>
          <cell r="BC14">
            <v>0.01</v>
          </cell>
          <cell r="BD14">
            <v>0</v>
          </cell>
          <cell r="BE14">
            <v>-1.00000000000079E-2</v>
          </cell>
          <cell r="BF14">
            <v>0</v>
          </cell>
          <cell r="BG14">
            <v>0</v>
          </cell>
          <cell r="BH14">
            <v>1.23789867245705E-14</v>
          </cell>
          <cell r="BI14">
            <v>0</v>
          </cell>
          <cell r="BJ14">
            <v>0</v>
          </cell>
          <cell r="BK14">
            <v>6.9999999999990896</v>
          </cell>
          <cell r="BL14">
            <v>-1.00000000002183E-2</v>
          </cell>
          <cell r="BM14">
            <v>-9.9999999999909103E-3</v>
          </cell>
          <cell r="BN14">
            <v>-1.9999999999990699E-2</v>
          </cell>
          <cell r="BO14">
            <v>1.00000000000087E-2</v>
          </cell>
          <cell r="BP14">
            <v>0</v>
          </cell>
          <cell r="BQ14">
            <v>1.00000000002183E-2</v>
          </cell>
          <cell r="BR14">
            <v>0.45000000000004498</v>
          </cell>
          <cell r="BS14">
            <v>9.9999999999909103E-3</v>
          </cell>
          <cell r="BT14">
            <v>3.4903156753696202E-13</v>
          </cell>
          <cell r="BU14">
            <v>1.00000000002183E-2</v>
          </cell>
          <cell r="BV14">
            <v>0</v>
          </cell>
          <cell r="BW14">
            <v>9.9999999999909103E-3</v>
          </cell>
          <cell r="BX14">
            <v>5.0000000000001099E-2</v>
          </cell>
          <cell r="BY14">
            <v>7.0000000000049994E-2</v>
          </cell>
          <cell r="BZ14">
            <v>0.13000000000005199</v>
          </cell>
          <cell r="CA14">
            <v>2.0000000000010201E-2</v>
          </cell>
          <cell r="CB14">
            <v>0</v>
          </cell>
          <cell r="CC14">
            <v>1.99999999999818E-2</v>
          </cell>
          <cell r="CD14">
            <v>23.5</v>
          </cell>
          <cell r="CE14">
            <v>0.99000000000000898</v>
          </cell>
          <cell r="CF14">
            <v>239.5</v>
          </cell>
          <cell r="CG14">
            <v>1.00000000002183E-2</v>
          </cell>
          <cell r="CH14">
            <v>0.120000000000033</v>
          </cell>
          <cell r="CI14">
            <v>0.26000000000001899</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S14">
            <v>0</v>
          </cell>
          <cell r="ET14">
            <v>0</v>
          </cell>
          <cell r="EU14">
            <v>0</v>
          </cell>
          <cell r="EV14">
            <v>0</v>
          </cell>
          <cell r="EW14">
            <v>0</v>
          </cell>
          <cell r="EX14">
            <v>0</v>
          </cell>
          <cell r="EY14">
            <v>0</v>
          </cell>
          <cell r="EZ14">
            <v>0</v>
          </cell>
          <cell r="FA14">
            <v>0</v>
          </cell>
          <cell r="FB14">
            <v>0</v>
          </cell>
          <cell r="FC14">
            <v>0</v>
          </cell>
          <cell r="FD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-1.96</v>
          </cell>
          <cell r="AB15">
            <v>-13.79</v>
          </cell>
          <cell r="AC15">
            <v>-1.97</v>
          </cell>
          <cell r="AD15">
            <v>-2.2999999999999998</v>
          </cell>
          <cell r="AE15">
            <v>-2</v>
          </cell>
          <cell r="AF15">
            <v>13</v>
          </cell>
          <cell r="AG15">
            <v>-10.63</v>
          </cell>
          <cell r="AH15">
            <v>-10822.22</v>
          </cell>
          <cell r="AI15">
            <v>-2233.0300000000002</v>
          </cell>
          <cell r="AJ15">
            <v>-8126.87</v>
          </cell>
          <cell r="AK15">
            <v>-2499.77</v>
          </cell>
          <cell r="AL15">
            <v>-612.75</v>
          </cell>
          <cell r="AM15">
            <v>-207.12</v>
          </cell>
          <cell r="AN15">
            <v>-18679.96</v>
          </cell>
          <cell r="AO15">
            <v>-34.56</v>
          </cell>
          <cell r="AP15">
            <v>-669.58</v>
          </cell>
          <cell r="AQ15">
            <v>-1149.1300000000001</v>
          </cell>
          <cell r="AR15">
            <v>891.13</v>
          </cell>
          <cell r="AS15">
            <v>184.86</v>
          </cell>
          <cell r="AT15">
            <v>426.97</v>
          </cell>
          <cell r="AU15">
            <v>263.83999999999997</v>
          </cell>
          <cell r="AV15">
            <v>-836.76</v>
          </cell>
          <cell r="AW15">
            <v>-95.269999999999797</v>
          </cell>
          <cell r="AX15">
            <v>283.33999999999997</v>
          </cell>
          <cell r="AY15">
            <v>427.99</v>
          </cell>
          <cell r="AZ15">
            <v>207.6</v>
          </cell>
          <cell r="BA15">
            <v>-275.39</v>
          </cell>
          <cell r="BB15">
            <v>-86.14</v>
          </cell>
          <cell r="BC15">
            <v>146.15</v>
          </cell>
          <cell r="BD15">
            <v>76.55</v>
          </cell>
          <cell r="BE15">
            <v>475.73</v>
          </cell>
          <cell r="BF15">
            <v>715.64</v>
          </cell>
          <cell r="BG15">
            <v>942.81</v>
          </cell>
          <cell r="BH15">
            <v>1270.99</v>
          </cell>
          <cell r="BI15">
            <v>15.05</v>
          </cell>
          <cell r="BJ15">
            <v>-338.78</v>
          </cell>
          <cell r="BK15">
            <v>-1624.84</v>
          </cell>
          <cell r="BL15">
            <v>-9769.5400000000009</v>
          </cell>
          <cell r="BM15">
            <v>-641.04</v>
          </cell>
          <cell r="BN15">
            <v>-134.13999999999999</v>
          </cell>
          <cell r="BO15">
            <v>767.6</v>
          </cell>
          <cell r="BP15">
            <v>258.52</v>
          </cell>
          <cell r="BQ15">
            <v>-937.38</v>
          </cell>
          <cell r="BR15">
            <v>-548.14</v>
          </cell>
          <cell r="BS15">
            <v>-231.52</v>
          </cell>
          <cell r="BT15">
            <v>-280.79000000000002</v>
          </cell>
          <cell r="BU15">
            <v>-1383.3</v>
          </cell>
          <cell r="BV15">
            <v>54.03</v>
          </cell>
          <cell r="BW15">
            <v>-791.4</v>
          </cell>
          <cell r="BX15">
            <v>-203.56</v>
          </cell>
          <cell r="BY15">
            <v>-578.85</v>
          </cell>
          <cell r="BZ15">
            <v>-466.81</v>
          </cell>
          <cell r="CA15">
            <v>-216.16</v>
          </cell>
          <cell r="CB15">
            <v>-777.1</v>
          </cell>
          <cell r="CC15">
            <v>-1888.9</v>
          </cell>
          <cell r="CD15">
            <v>-907.58</v>
          </cell>
          <cell r="CE15">
            <v>-711.02</v>
          </cell>
          <cell r="CF15">
            <v>-1162.6099999999999</v>
          </cell>
          <cell r="CG15">
            <v>-4405</v>
          </cell>
          <cell r="CH15">
            <v>-499.74</v>
          </cell>
          <cell r="CI15">
            <v>-577.11</v>
          </cell>
          <cell r="CJ15">
            <v>-2039.9346459799999</v>
          </cell>
          <cell r="CK15">
            <v>-10.215401</v>
          </cell>
          <cell r="CL15">
            <v>584.72909900000002</v>
          </cell>
          <cell r="CM15">
            <v>547.43143913999995</v>
          </cell>
          <cell r="CN15">
            <v>93.402464140000006</v>
          </cell>
          <cell r="CO15">
            <v>149.86829349999999</v>
          </cell>
          <cell r="CP15">
            <v>-103.82582053</v>
          </cell>
          <cell r="CQ15">
            <v>501.39532101999998</v>
          </cell>
          <cell r="CR15">
            <v>393.75588615999999</v>
          </cell>
          <cell r="CS15">
            <v>371.27627942999999</v>
          </cell>
          <cell r="CT15">
            <v>-1156.76181109</v>
          </cell>
          <cell r="CU15">
            <v>-510.64094504000002</v>
          </cell>
          <cell r="CV15">
            <v>1572.12295593</v>
          </cell>
          <cell r="CW15">
            <v>0</v>
          </cell>
          <cell r="CX15">
            <v>0</v>
          </cell>
          <cell r="CY15">
            <v>0</v>
          </cell>
          <cell r="CZ15">
            <v>0</v>
          </cell>
          <cell r="DA15">
            <v>0</v>
          </cell>
          <cell r="DB15">
            <v>1808.1070929699999</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S15">
            <v>0</v>
          </cell>
          <cell r="ET15">
            <v>0</v>
          </cell>
          <cell r="EU15">
            <v>0</v>
          </cell>
          <cell r="EV15">
            <v>0</v>
          </cell>
          <cell r="EW15">
            <v>0</v>
          </cell>
          <cell r="EX15">
            <v>0</v>
          </cell>
          <cell r="EY15">
            <v>0</v>
          </cell>
          <cell r="EZ15">
            <v>0</v>
          </cell>
          <cell r="FA15">
            <v>0</v>
          </cell>
          <cell r="FB15">
            <v>0</v>
          </cell>
          <cell r="FC15">
            <v>48774.32233019</v>
          </cell>
          <cell r="FD15">
            <v>0</v>
          </cell>
        </row>
      </sheetData>
      <sheetData sheetId="1">
        <row r="4">
          <cell r="AA4">
            <v>0</v>
          </cell>
          <cell r="AB4">
            <v>0</v>
          </cell>
          <cell r="AC4">
            <v>0</v>
          </cell>
          <cell r="AD4">
            <v>0</v>
          </cell>
          <cell r="AE4">
            <v>0</v>
          </cell>
          <cell r="AF4">
            <v>0</v>
          </cell>
          <cell r="AG4">
            <v>4</v>
          </cell>
          <cell r="AH4">
            <v>-27.07</v>
          </cell>
          <cell r="AI4">
            <v>-352.1</v>
          </cell>
          <cell r="AJ4">
            <v>2.73</v>
          </cell>
          <cell r="AK4">
            <v>-0.01</v>
          </cell>
          <cell r="AL4">
            <v>375.54</v>
          </cell>
          <cell r="AM4">
            <v>382.39</v>
          </cell>
          <cell r="AN4">
            <v>1115.0999999999999</v>
          </cell>
          <cell r="AO4">
            <v>182.92</v>
          </cell>
          <cell r="AP4">
            <v>902.7</v>
          </cell>
          <cell r="AQ4">
            <v>1252.95</v>
          </cell>
          <cell r="AR4">
            <v>1193.51</v>
          </cell>
          <cell r="AS4">
            <v>695.2</v>
          </cell>
          <cell r="AT4">
            <v>1038.8</v>
          </cell>
          <cell r="AU4">
            <v>1182.8699999999999</v>
          </cell>
          <cell r="AV4">
            <v>1055.29</v>
          </cell>
          <cell r="AW4">
            <v>1210.67</v>
          </cell>
          <cell r="AX4">
            <v>2284.88</v>
          </cell>
          <cell r="AY4">
            <v>1686.17</v>
          </cell>
          <cell r="AZ4">
            <v>694.73</v>
          </cell>
          <cell r="BA4">
            <v>306.99</v>
          </cell>
          <cell r="BB4">
            <v>477.72</v>
          </cell>
          <cell r="BC4">
            <v>353.59</v>
          </cell>
          <cell r="BD4">
            <v>323.77</v>
          </cell>
          <cell r="BE4">
            <v>574.45000000000005</v>
          </cell>
          <cell r="BF4">
            <v>927.36</v>
          </cell>
          <cell r="BG4">
            <v>1043.47</v>
          </cell>
          <cell r="BH4">
            <v>1367.46</v>
          </cell>
          <cell r="BI4">
            <v>106.59</v>
          </cell>
          <cell r="BJ4">
            <v>633.16</v>
          </cell>
          <cell r="BK4">
            <v>2167.66</v>
          </cell>
          <cell r="BL4">
            <v>121.01</v>
          </cell>
          <cell r="BM4">
            <v>341.82</v>
          </cell>
          <cell r="BN4">
            <v>650.87</v>
          </cell>
          <cell r="BO4">
            <v>100.05</v>
          </cell>
          <cell r="BP4">
            <v>289.8</v>
          </cell>
          <cell r="BQ4">
            <v>887.2</v>
          </cell>
          <cell r="BR4">
            <v>-6.05</v>
          </cell>
          <cell r="BS4">
            <v>105.52</v>
          </cell>
          <cell r="BT4">
            <v>901.98</v>
          </cell>
          <cell r="BU4">
            <v>23.29</v>
          </cell>
          <cell r="BV4">
            <v>230.57</v>
          </cell>
          <cell r="BW4">
            <v>24.01</v>
          </cell>
          <cell r="BX4">
            <v>0</v>
          </cell>
          <cell r="BY4">
            <v>0</v>
          </cell>
          <cell r="BZ4">
            <v>-139.77000000000001</v>
          </cell>
          <cell r="CA4">
            <v>-4.67</v>
          </cell>
          <cell r="CB4">
            <v>-346.91</v>
          </cell>
          <cell r="CC4">
            <v>46.14</v>
          </cell>
          <cell r="CD4">
            <v>-477.14</v>
          </cell>
          <cell r="CE4">
            <v>-33.76</v>
          </cell>
          <cell r="CF4">
            <v>-0.01</v>
          </cell>
          <cell r="CG4">
            <v>-152.55000000000001</v>
          </cell>
          <cell r="CH4">
            <v>-135.34</v>
          </cell>
          <cell r="CI4">
            <v>-263.37</v>
          </cell>
          <cell r="CJ4">
            <v>0</v>
          </cell>
          <cell r="CK4">
            <v>0</v>
          </cell>
          <cell r="CL4">
            <v>621.1</v>
          </cell>
          <cell r="CM4">
            <v>621.1</v>
          </cell>
          <cell r="CN4">
            <v>425.47</v>
          </cell>
          <cell r="CO4">
            <v>202.97</v>
          </cell>
          <cell r="CP4">
            <v>265.57</v>
          </cell>
          <cell r="CQ4">
            <v>519.34</v>
          </cell>
          <cell r="CR4">
            <v>519.34</v>
          </cell>
          <cell r="CS4">
            <v>416.15</v>
          </cell>
          <cell r="CT4">
            <v>173</v>
          </cell>
          <cell r="CU4">
            <v>700</v>
          </cell>
          <cell r="CV4">
            <v>2454.2199999999998</v>
          </cell>
          <cell r="CW4">
            <v>0</v>
          </cell>
          <cell r="CX4">
            <v>0</v>
          </cell>
          <cell r="CY4">
            <v>0</v>
          </cell>
          <cell r="CZ4">
            <v>0</v>
          </cell>
          <cell r="DA4">
            <v>0</v>
          </cell>
          <cell r="DB4">
            <v>2999.7772</v>
          </cell>
          <cell r="DC4">
            <v>0</v>
          </cell>
          <cell r="DD4">
            <v>0</v>
          </cell>
          <cell r="DE4">
            <v>0</v>
          </cell>
          <cell r="DF4">
            <v>0</v>
          </cell>
          <cell r="DG4">
            <v>0</v>
          </cell>
        </row>
        <row r="9">
          <cell r="CJ9">
            <v>1998.7340630000001</v>
          </cell>
          <cell r="CK9">
            <v>0</v>
          </cell>
          <cell r="CL9">
            <v>29.92</v>
          </cell>
          <cell r="CM9">
            <v>28.172345</v>
          </cell>
          <cell r="CN9">
            <v>300</v>
          </cell>
          <cell r="CO9">
            <v>0</v>
          </cell>
          <cell r="CP9">
            <v>300</v>
          </cell>
          <cell r="CQ9">
            <v>0</v>
          </cell>
          <cell r="CR9">
            <v>100</v>
          </cell>
          <cell r="CS9">
            <v>0</v>
          </cell>
          <cell r="CT9">
            <v>1309</v>
          </cell>
          <cell r="CU9">
            <v>1157</v>
          </cell>
        </row>
        <row r="13">
          <cell r="C13">
            <v>3361.0312869200002</v>
          </cell>
        </row>
        <row r="105">
          <cell r="C105">
            <v>40458983.009999998</v>
          </cell>
        </row>
        <row r="106">
          <cell r="C106">
            <v>315150077.57999998</v>
          </cell>
        </row>
        <row r="107">
          <cell r="C107">
            <v>39430461.119999997</v>
          </cell>
        </row>
        <row r="108">
          <cell r="C108">
            <v>0</v>
          </cell>
        </row>
        <row r="109">
          <cell r="C109">
            <v>0</v>
          </cell>
        </row>
        <row r="215">
          <cell r="C215">
            <v>2103141.52</v>
          </cell>
        </row>
        <row r="216">
          <cell r="C216">
            <v>5104226.82</v>
          </cell>
        </row>
        <row r="217">
          <cell r="C217">
            <v>0</v>
          </cell>
        </row>
        <row r="218">
          <cell r="C218">
            <v>179738.53999999899</v>
          </cell>
        </row>
        <row r="219">
          <cell r="C219">
            <v>3726.67</v>
          </cell>
        </row>
        <row r="223">
          <cell r="C223">
            <v>0</v>
          </cell>
        </row>
        <row r="224">
          <cell r="C224">
            <v>0</v>
          </cell>
        </row>
        <row r="225">
          <cell r="C225">
            <v>4809734.4000000004</v>
          </cell>
        </row>
      </sheetData>
      <sheetData sheetId="2">
        <row r="9">
          <cell r="C9">
            <v>4421.38</v>
          </cell>
        </row>
        <row r="13">
          <cell r="C13">
            <v>389.03</v>
          </cell>
        </row>
        <row r="215">
          <cell r="C215">
            <v>3307.19</v>
          </cell>
        </row>
        <row r="216">
          <cell r="C216">
            <v>0</v>
          </cell>
        </row>
        <row r="217">
          <cell r="C217">
            <v>0</v>
          </cell>
        </row>
        <row r="218">
          <cell r="C218">
            <v>29.21</v>
          </cell>
        </row>
        <row r="219">
          <cell r="C219">
            <v>0</v>
          </cell>
        </row>
        <row r="223">
          <cell r="C223">
            <v>0</v>
          </cell>
        </row>
        <row r="224">
          <cell r="C224">
            <v>0</v>
          </cell>
        </row>
        <row r="225">
          <cell r="C225">
            <v>1636318.67</v>
          </cell>
        </row>
      </sheetData>
      <sheetData sheetId="3"/>
      <sheetData sheetId="4"/>
      <sheetData sheetId="5">
        <row r="1">
          <cell r="L1">
            <v>26515.71</v>
          </cell>
          <cell r="X1">
            <v>270963870</v>
          </cell>
        </row>
      </sheetData>
      <sheetData sheetId="6">
        <row r="1">
          <cell r="L1">
            <v>12730.98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4.1土增税基础表"/>
      <sheetName val="8.4.2土增税分摊表"/>
      <sheetName val="8.4.3土增税计算表"/>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40">
          <cell r="G40">
            <v>17400.224427789999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G8">
            <v>6605.43</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底稿"/>
      <sheetName val="IRR底稿-银煌"/>
      <sheetName val="IRR底稿-银科"/>
      <sheetName val="PPT"/>
      <sheetName val="成本分摊-银煌银煌A2"/>
      <sheetName val="销售明细表-已售银煌A2南区"/>
      <sheetName val="销售明细表-未售银煌A2南区"/>
    </sheetNames>
    <sheetDataSet>
      <sheetData sheetId="0"/>
      <sheetData sheetId="1"/>
      <sheetData sheetId="2"/>
      <sheetData sheetId="3"/>
      <sheetData sheetId="4"/>
      <sheetData sheetId="5">
        <row r="1">
          <cell r="L1">
            <v>26628.74</v>
          </cell>
        </row>
      </sheetData>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统计"/>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195873.11</v>
          </cell>
          <cell r="C14">
            <v>103091</v>
          </cell>
          <cell r="D14">
            <v>19392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销售明细表-未售银煌A2南区"/>
      <sheetName val="A2地块一期全部房源清单"/>
      <sheetName val="统计"/>
      <sheetName val="数据-汇总表"/>
      <sheetName val="数据-取费表"/>
      <sheetName val="估价对象房地状况"/>
      <sheetName val="系统读取表"/>
      <sheetName val="结果表"/>
      <sheetName val="比较法-住宅"/>
      <sheetName val="成本法"/>
      <sheetName val="土地比较法-住宅、综合"/>
      <sheetName val="成本法 (元)"/>
      <sheetName val="假设开发法"/>
      <sheetName val="商业土地案例"/>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市调"/>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2293.62</v>
          </cell>
          <cell r="D14">
            <v>1637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统计"/>
      <sheetName val="数据-取费表"/>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205878.96</v>
          </cell>
          <cell r="C14">
            <v>79184.22</v>
          </cell>
          <cell r="D14">
            <v>7413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ff/snci"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河北省张家口市下花园区110国道北侧“京北金茂悦”项目房地产市场价值预评估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受贵公司委托，我公司对河北省张家口市下花园区110国道北侧“京北金茂悦”项目房地产市场价值进行了预评估。</v>
      </c>
    </row>
    <row r="7" spans="1:2">
      <c r="A7" s="1118" t="s">
        <v>566</v>
      </c>
      <c r="B7" s="1119" t="str">
        <f>'预评函-1'!A7</f>
        <v>估价对象为河北省张家口市下花园区110国道北侧“京北金茂悦”项目房地产，为所有。根据《国有土地使用证》[]，估价对象（分摊）出让国有建设用地使用权面积为0平方米，建筑面积为86196.96平方米。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河北省张家口市下花园区110国道北侧“京北金茂悦”项目房地产,属开发建设的居住项目，该项目尚在开发建设中。根据《国有土地使用证》[]，估价对象（分摊）出让国有建设用地使用权面积为0平方米，规划建筑面积为86196.96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2023年12月31日</v>
      </c>
    </row>
    <row r="13" spans="1:2">
      <c r="A13" s="1118" t="s">
        <v>529</v>
      </c>
      <c r="B13" s="1119"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73588</v>
      </c>
    </row>
    <row r="21" spans="1:2">
      <c r="A21" s="1118" t="s">
        <v>537</v>
      </c>
      <c r="B21" s="1119">
        <f ca="1">'预评函-2'!D7</f>
        <v>8600</v>
      </c>
    </row>
    <row r="22" spans="1:2">
      <c r="A22" s="1118" t="s">
        <v>538</v>
      </c>
      <c r="B22" s="1119" t="str">
        <f ca="1">'预评函-2'!D6</f>
        <v>柒亿叁仟伍佰捌拾捌万元整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73588</v>
      </c>
    </row>
    <row r="31" spans="1:2">
      <c r="A31" s="1118" t="s">
        <v>576</v>
      </c>
      <c r="B31" s="1119">
        <f ca="1">'预评函-2'!D15</f>
        <v>8600</v>
      </c>
    </row>
    <row r="32" spans="1:2">
      <c r="A32" s="1118" t="s">
        <v>543</v>
      </c>
      <c r="B32" s="1119" t="str">
        <f ca="1">'预评函-2'!D14</f>
        <v>柒亿叁仟伍佰捌拾捌万元整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河北省张家口市下花园区110国道北侧“京北金茂悦”项目房地产</v>
      </c>
    </row>
    <row r="42" spans="1:2">
      <c r="A42" s="1118" t="s">
        <v>590</v>
      </c>
      <c r="B42" s="1119" t="str">
        <f>'预评函-3'!B2</f>
        <v>建筑面积</v>
      </c>
    </row>
    <row r="43" spans="1:2">
      <c r="A43" s="1118" t="s">
        <v>591</v>
      </c>
      <c r="B43" s="1119">
        <f>'预评函-3'!B4</f>
        <v>86196.960000000021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15306</v>
      </c>
    </row>
    <row r="48" spans="1:2">
      <c r="A48" s="1118" t="s">
        <v>549</v>
      </c>
      <c r="B48" s="1119">
        <f ca="1">'预评函-3'!E4</f>
        <v>1789</v>
      </c>
    </row>
    <row r="49" spans="1:2">
      <c r="A49" s="1118" t="s">
        <v>550</v>
      </c>
      <c r="B49" s="1119" t="str">
        <f ca="1">'预评函-3'!D5</f>
        <v>壹亿伍仟叁佰零陆万元整</v>
      </c>
    </row>
    <row r="50" spans="1:2">
      <c r="A50" s="1118" t="s">
        <v>574</v>
      </c>
      <c r="B50" s="1119" t="str">
        <f>'预评函-3'!F2</f>
        <v>建筑物价值</v>
      </c>
    </row>
    <row r="51" spans="1:2">
      <c r="A51" s="1118" t="s">
        <v>551</v>
      </c>
      <c r="B51" s="1119">
        <f ca="1">'预评函-3'!F4</f>
        <v>58282</v>
      </c>
    </row>
    <row r="52" spans="1:2">
      <c r="A52" s="1118" t="s">
        <v>552</v>
      </c>
      <c r="B52" s="1119">
        <f ca="1">'预评函-3'!G4</f>
        <v>6811</v>
      </c>
    </row>
    <row r="53" spans="1:2">
      <c r="A53" s="1118" t="s">
        <v>580</v>
      </c>
      <c r="B53" s="1119" t="str">
        <f ca="1">'预评函-3'!F5</f>
        <v>伍亿捌仟贰佰捌拾贰万元整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E26" sqref="E2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971</v>
      </c>
      <c r="C1" s="1437" t="s">
        <v>314</v>
      </c>
      <c r="D1" s="1438" t="s">
        <v>3349</v>
      </c>
      <c r="E1" s="1437" t="s">
        <v>972</v>
      </c>
      <c r="F1" s="1437" t="s">
        <v>973</v>
      </c>
      <c r="G1" s="1437" t="s">
        <v>974</v>
      </c>
      <c r="H1" s="1437" t="s">
        <v>975</v>
      </c>
      <c r="I1" s="1437" t="s">
        <v>976</v>
      </c>
      <c r="J1" s="1437" t="s">
        <v>977</v>
      </c>
      <c r="K1" s="1437" t="s">
        <v>978</v>
      </c>
      <c r="L1" s="1437" t="s">
        <v>979</v>
      </c>
      <c r="M1" s="1437" t="s">
        <v>980</v>
      </c>
      <c r="N1" s="1437" t="s">
        <v>981</v>
      </c>
      <c r="O1" s="1437" t="s">
        <v>982</v>
      </c>
      <c r="P1" s="1438" t="s">
        <v>309</v>
      </c>
      <c r="Q1" s="1438" t="s">
        <v>447</v>
      </c>
      <c r="R1" s="1437" t="s">
        <v>441</v>
      </c>
      <c r="S1" s="1437" t="s">
        <v>983</v>
      </c>
      <c r="T1" s="1438" t="s">
        <v>984</v>
      </c>
      <c r="U1" s="1437" t="s">
        <v>985</v>
      </c>
      <c r="V1" s="1437" t="s">
        <v>986</v>
      </c>
      <c r="W1" s="1437" t="s">
        <v>311</v>
      </c>
    </row>
    <row r="2" spans="1:23">
      <c r="A2" s="1440" t="s">
        <v>19</v>
      </c>
      <c r="B2" s="1440" t="s">
        <v>987</v>
      </c>
      <c r="C2" s="1441" t="s">
        <v>315</v>
      </c>
      <c r="D2" s="1442" t="s">
        <v>988</v>
      </c>
      <c r="E2" s="1442" t="s">
        <v>989</v>
      </c>
      <c r="F2" s="1442" t="s">
        <v>990</v>
      </c>
      <c r="G2" s="1442">
        <v>20</v>
      </c>
      <c r="H2" s="1442" t="s">
        <v>990</v>
      </c>
      <c r="I2" s="1442" t="s">
        <v>3335</v>
      </c>
      <c r="J2" s="1442" t="s">
        <v>991</v>
      </c>
      <c r="K2" s="1442" t="s">
        <v>992</v>
      </c>
      <c r="L2" s="1442" t="s">
        <v>992</v>
      </c>
      <c r="M2" s="1442" t="s">
        <v>992</v>
      </c>
      <c r="N2" s="1442" t="s">
        <v>992</v>
      </c>
      <c r="O2" s="1442" t="s">
        <v>992</v>
      </c>
      <c r="P2" s="1442" t="s">
        <v>992</v>
      </c>
      <c r="Q2" s="1442" t="s">
        <v>992</v>
      </c>
      <c r="R2" s="1442" t="s">
        <v>443</v>
      </c>
      <c r="S2" s="1442" t="s">
        <v>992</v>
      </c>
      <c r="T2" s="1442" t="s">
        <v>993</v>
      </c>
      <c r="U2" s="1442" t="s">
        <v>992</v>
      </c>
      <c r="V2" s="1442" t="s">
        <v>994</v>
      </c>
      <c r="W2" s="1442" t="s">
        <v>992</v>
      </c>
    </row>
    <row r="3" spans="1:23">
      <c r="A3" s="1440" t="s">
        <v>995</v>
      </c>
      <c r="B3" s="1443" t="s">
        <v>448</v>
      </c>
      <c r="C3" s="1441" t="s">
        <v>316</v>
      </c>
      <c r="D3" s="1442" t="s">
        <v>996</v>
      </c>
      <c r="E3" s="1442" t="s">
        <v>13</v>
      </c>
      <c r="F3" s="1442" t="s">
        <v>997</v>
      </c>
      <c r="G3" s="1442">
        <v>40</v>
      </c>
      <c r="H3" s="1442" t="s">
        <v>997</v>
      </c>
      <c r="I3" s="1442" t="s">
        <v>3336</v>
      </c>
      <c r="J3" s="1442" t="s">
        <v>998</v>
      </c>
      <c r="K3" s="1442" t="s">
        <v>999</v>
      </c>
      <c r="L3" s="1442" t="s">
        <v>999</v>
      </c>
      <c r="M3" s="1442" t="s">
        <v>999</v>
      </c>
      <c r="N3" s="1442" t="s">
        <v>999</v>
      </c>
      <c r="O3" s="1442" t="s">
        <v>999</v>
      </c>
      <c r="P3" s="1442" t="s">
        <v>999</v>
      </c>
      <c r="Q3" s="1442" t="s">
        <v>999</v>
      </c>
      <c r="R3" s="1442" t="s">
        <v>442</v>
      </c>
      <c r="S3" s="1442" t="s">
        <v>999</v>
      </c>
      <c r="T3" s="1442" t="s">
        <v>1000</v>
      </c>
      <c r="U3" s="1442" t="s">
        <v>999</v>
      </c>
      <c r="V3" s="1442" t="s">
        <v>1001</v>
      </c>
      <c r="W3" s="1442" t="s">
        <v>999</v>
      </c>
    </row>
    <row r="4" spans="1:23">
      <c r="A4" s="1440" t="s">
        <v>1002</v>
      </c>
      <c r="B4" s="1440" t="s">
        <v>1003</v>
      </c>
      <c r="C4" s="1441" t="s">
        <v>317</v>
      </c>
      <c r="D4" s="1442" t="s">
        <v>389</v>
      </c>
      <c r="E4" s="1442" t="s">
        <v>1004</v>
      </c>
      <c r="F4" s="1442" t="s">
        <v>1005</v>
      </c>
      <c r="G4" s="1442">
        <v>50</v>
      </c>
      <c r="H4" s="1442" t="s">
        <v>1005</v>
      </c>
      <c r="I4" s="1442" t="s">
        <v>3337</v>
      </c>
      <c r="K4" s="1442" t="s">
        <v>1006</v>
      </c>
      <c r="L4" s="1442" t="s">
        <v>1006</v>
      </c>
      <c r="M4" s="1442" t="s">
        <v>1006</v>
      </c>
      <c r="N4" s="1442" t="s">
        <v>1006</v>
      </c>
      <c r="O4" s="1442" t="s">
        <v>1006</v>
      </c>
      <c r="P4" s="1442" t="s">
        <v>1006</v>
      </c>
      <c r="Q4" s="1442" t="s">
        <v>1006</v>
      </c>
      <c r="R4" s="1442" t="s">
        <v>444</v>
      </c>
      <c r="S4" s="1442" t="s">
        <v>1006</v>
      </c>
      <c r="T4" s="1442" t="s">
        <v>1007</v>
      </c>
      <c r="U4" s="1442" t="s">
        <v>1006</v>
      </c>
      <c r="W4" s="1442" t="s">
        <v>1006</v>
      </c>
    </row>
    <row r="5" spans="1:23">
      <c r="A5" s="1440" t="s">
        <v>1008</v>
      </c>
      <c r="B5" s="1440" t="s">
        <v>1009</v>
      </c>
      <c r="C5" s="1441" t="s">
        <v>318</v>
      </c>
      <c r="F5" s="1442" t="s">
        <v>1010</v>
      </c>
      <c r="G5" s="1442">
        <v>70</v>
      </c>
      <c r="H5" s="1442" t="s">
        <v>1011</v>
      </c>
      <c r="I5" s="1442" t="s">
        <v>3338</v>
      </c>
      <c r="K5" s="1442" t="s">
        <v>1012</v>
      </c>
      <c r="L5" s="1442" t="s">
        <v>1012</v>
      </c>
      <c r="M5" s="1442" t="s">
        <v>1012</v>
      </c>
      <c r="N5" s="1442" t="s">
        <v>1012</v>
      </c>
      <c r="O5" s="1442" t="s">
        <v>1012</v>
      </c>
      <c r="P5" s="1442" t="s">
        <v>1012</v>
      </c>
      <c r="Q5" s="1442" t="s">
        <v>1012</v>
      </c>
      <c r="R5" s="1442" t="s">
        <v>445</v>
      </c>
      <c r="S5" s="1442" t="s">
        <v>1012</v>
      </c>
      <c r="T5" s="1442" t="s">
        <v>1013</v>
      </c>
      <c r="U5" s="1442" t="s">
        <v>1012</v>
      </c>
      <c r="W5" s="1442" t="s">
        <v>1012</v>
      </c>
    </row>
    <row r="6" spans="1:23">
      <c r="A6" s="1440" t="s">
        <v>1014</v>
      </c>
      <c r="B6" s="1443" t="s">
        <v>449</v>
      </c>
      <c r="C6" s="1445" t="s">
        <v>24</v>
      </c>
      <c r="F6" s="1442" t="s">
        <v>1011</v>
      </c>
      <c r="H6" s="1442" t="s">
        <v>1015</v>
      </c>
      <c r="I6" s="1442" t="s">
        <v>3339</v>
      </c>
      <c r="K6" s="1442" t="s">
        <v>1016</v>
      </c>
      <c r="L6" s="1442" t="s">
        <v>1016</v>
      </c>
      <c r="M6" s="1442" t="s">
        <v>1016</v>
      </c>
      <c r="N6" s="1442" t="s">
        <v>1016</v>
      </c>
      <c r="O6" s="1442" t="s">
        <v>1016</v>
      </c>
      <c r="P6" s="1442" t="s">
        <v>1016</v>
      </c>
      <c r="Q6" s="1442" t="s">
        <v>1016</v>
      </c>
      <c r="R6" s="1442" t="s">
        <v>446</v>
      </c>
      <c r="S6" s="1442" t="s">
        <v>1016</v>
      </c>
      <c r="T6" s="1442"/>
      <c r="U6" s="1442" t="s">
        <v>1016</v>
      </c>
      <c r="W6" s="1442" t="s">
        <v>1016</v>
      </c>
    </row>
    <row r="7" spans="1:23">
      <c r="A7" s="1440" t="s">
        <v>1017</v>
      </c>
      <c r="B7" s="1443" t="s">
        <v>450</v>
      </c>
      <c r="C7" s="1441" t="s">
        <v>25</v>
      </c>
      <c r="F7" s="1442" t="s">
        <v>1018</v>
      </c>
      <c r="H7" s="1442" t="s">
        <v>1019</v>
      </c>
      <c r="I7" s="1442" t="s">
        <v>3340</v>
      </c>
    </row>
    <row r="8" spans="1:23">
      <c r="A8" s="1440" t="s">
        <v>1020</v>
      </c>
      <c r="B8" s="1440" t="s">
        <v>1021</v>
      </c>
      <c r="C8" s="1441" t="s">
        <v>319</v>
      </c>
      <c r="F8" s="1442" t="s">
        <v>1022</v>
      </c>
      <c r="H8" s="1442" t="s">
        <v>2575</v>
      </c>
      <c r="I8" s="1442" t="s">
        <v>3341</v>
      </c>
    </row>
    <row r="9" spans="1:23">
      <c r="A9" s="1440" t="s">
        <v>1023</v>
      </c>
      <c r="B9" s="1440" t="s">
        <v>1024</v>
      </c>
      <c r="C9" s="1441" t="s">
        <v>320</v>
      </c>
      <c r="F9" s="1442" t="s">
        <v>1025</v>
      </c>
      <c r="H9" s="1442"/>
      <c r="I9" s="1444" t="s">
        <v>3342</v>
      </c>
    </row>
    <row r="10" spans="1:23">
      <c r="A10" s="1440" t="s">
        <v>1026</v>
      </c>
      <c r="B10" s="1440" t="s">
        <v>1027</v>
      </c>
      <c r="C10" s="1441" t="s">
        <v>321</v>
      </c>
      <c r="F10" s="1442" t="s">
        <v>2576</v>
      </c>
      <c r="I10" s="1444" t="s">
        <v>3343</v>
      </c>
    </row>
    <row r="11" spans="1:23">
      <c r="A11" s="1440" t="s">
        <v>1028</v>
      </c>
      <c r="B11" s="1440" t="s">
        <v>1029</v>
      </c>
      <c r="C11" s="1441" t="s">
        <v>322</v>
      </c>
      <c r="F11" s="1442" t="s">
        <v>13</v>
      </c>
      <c r="I11" s="1444" t="s">
        <v>3344</v>
      </c>
    </row>
    <row r="12" spans="1:23">
      <c r="A12" s="1440" t="s">
        <v>1030</v>
      </c>
      <c r="B12" s="1440" t="s">
        <v>1031</v>
      </c>
      <c r="C12" s="1441" t="s">
        <v>323</v>
      </c>
      <c r="I12" s="1444" t="s">
        <v>3345</v>
      </c>
    </row>
    <row r="13" spans="1:23">
      <c r="A13" s="1440" t="s">
        <v>1032</v>
      </c>
      <c r="B13" s="1440" t="s">
        <v>1033</v>
      </c>
      <c r="C13" s="1441" t="s">
        <v>324</v>
      </c>
      <c r="I13" s="1444" t="s">
        <v>3346</v>
      </c>
    </row>
    <row r="14" spans="1:23">
      <c r="A14" s="1440" t="s">
        <v>1034</v>
      </c>
      <c r="B14" s="1440" t="s">
        <v>1035</v>
      </c>
      <c r="C14" s="1442" t="s">
        <v>13</v>
      </c>
      <c r="I14" s="1444" t="s">
        <v>3347</v>
      </c>
    </row>
    <row r="15" spans="1:23">
      <c r="A15" s="1440" t="s">
        <v>1036</v>
      </c>
      <c r="B15" s="1440" t="s">
        <v>1037</v>
      </c>
      <c r="C15" s="1441"/>
      <c r="I15" s="1444" t="s">
        <v>3348</v>
      </c>
    </row>
    <row r="16" spans="1:23">
      <c r="A16" s="1440" t="s">
        <v>1038</v>
      </c>
      <c r="B16" s="1440" t="s">
        <v>312</v>
      </c>
      <c r="C16" s="1441"/>
    </row>
    <row r="17" spans="1:3">
      <c r="A17" s="1440" t="s">
        <v>1039</v>
      </c>
      <c r="B17" s="1440" t="s">
        <v>2287</v>
      </c>
      <c r="C17" s="1441"/>
    </row>
    <row r="18" spans="1:3">
      <c r="A18" s="1440" t="s">
        <v>1040</v>
      </c>
      <c r="B18" s="1440" t="s">
        <v>2431</v>
      </c>
      <c r="C18" s="1441"/>
    </row>
    <row r="19" spans="1:3">
      <c r="A19" s="1440" t="s">
        <v>1041</v>
      </c>
      <c r="B19" s="1440" t="s">
        <v>4150</v>
      </c>
      <c r="C19" s="1441"/>
    </row>
    <row r="20" spans="1:3">
      <c r="A20" s="1440" t="s">
        <v>1042</v>
      </c>
      <c r="B20" s="1440" t="s">
        <v>4156</v>
      </c>
      <c r="C20" s="1441"/>
    </row>
    <row r="21" spans="1:3">
      <c r="A21" s="1440" t="s">
        <v>1043</v>
      </c>
      <c r="B21" s="1440" t="s">
        <v>4157</v>
      </c>
      <c r="C21" s="1441"/>
    </row>
    <row r="22" spans="1:3">
      <c r="A22" s="1440" t="s">
        <v>1044</v>
      </c>
      <c r="B22" s="1440" t="s">
        <v>4159</v>
      </c>
      <c r="C22" s="1441"/>
    </row>
    <row r="23" spans="1:3">
      <c r="A23" s="1440" t="s">
        <v>1045</v>
      </c>
      <c r="B23" s="1440" t="s">
        <v>313</v>
      </c>
      <c r="C23" s="1441"/>
    </row>
    <row r="24" spans="1:3">
      <c r="A24" s="1440" t="s">
        <v>1046</v>
      </c>
      <c r="B24" s="1440" t="s">
        <v>313</v>
      </c>
      <c r="C24" s="1441"/>
    </row>
    <row r="25" spans="1:3">
      <c r="A25" s="1440" t="s">
        <v>1047</v>
      </c>
      <c r="B25" s="1440" t="s">
        <v>313</v>
      </c>
      <c r="C25" s="1441"/>
    </row>
    <row r="26" spans="1:3">
      <c r="A26" s="1440" t="s">
        <v>1048</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张家口市下花园区110国道北侧“京北金茂悦”项目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0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1446" t="s">
        <v>385</v>
      </c>
      <c r="C54" s="1444" t="s">
        <v>583</v>
      </c>
    </row>
    <row r="55" spans="1:4">
      <c r="A55" s="3305"/>
      <c r="B55" s="1446" t="s">
        <v>386</v>
      </c>
      <c r="C55" s="1444" t="s">
        <v>584</v>
      </c>
    </row>
    <row r="56" spans="1:4">
      <c r="A56" s="3305"/>
      <c r="B56" s="1446" t="s">
        <v>387</v>
      </c>
      <c r="C56" s="1444" t="s">
        <v>588</v>
      </c>
    </row>
    <row r="57" spans="1:4">
      <c r="A57" s="330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306" t="s">
        <v>2578</v>
      </c>
      <c r="J2" s="3306"/>
      <c r="K2" s="3306"/>
      <c r="L2" s="3306"/>
      <c r="M2" s="3306"/>
      <c r="N2" s="3306"/>
      <c r="O2" s="3306"/>
      <c r="P2" s="3306"/>
      <c r="Q2" s="3306"/>
      <c r="R2" s="3306"/>
    </row>
    <row r="3" spans="1:18">
      <c r="A3" s="2757" t="s">
        <v>2499</v>
      </c>
      <c r="B3" s="2758">
        <f>项目基本情况!D3</f>
        <v>45291</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2.96</v>
      </c>
      <c r="D5" s="2762">
        <f>IF(ISERROR(ROUND(POWER(1+E5,A5-C5)*(POWER(1+E5,C5)-1)/(POWER(1+E5,A5)-1),3)),0,ROUND(POWER(1+E5,A5-C5)*(POWER(1+E5,C5)-1)/(POWER(1+E5,A5)-1),4))</f>
        <v>0.1384</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12.97</v>
      </c>
      <c r="D6" s="2762">
        <f>IF(ISERROR(ROUND(POWER(1+E6,A6-C6)*(POWER(1+E6,C6)-1)/(POWER(1+E6,A6)-1),3)),0,ROUND(POWER(1+E6,A6-C6)*(POWER(1+E6,C6)-1)/(POWER(1+E6,A6)-1),4))</f>
        <v>0.46400000000000002</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32.99</v>
      </c>
      <c r="D7" s="2762">
        <f>IF(ISERROR(ROUND(POWER(1+E7,A7-C7)*(POWER(1+E7,C7)-1)/(POWER(1+E7,A7)-1),3)),0,ROUND(POWER(1+E7,A7-C7)*(POWER(1+E7,C7)-1)/(POWER(1+E7,A7)-1),4))</f>
        <v>0.77559999999999996</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2565</v>
      </c>
      <c r="M23" s="2794" t="s">
        <v>2566</v>
      </c>
    </row>
    <row r="24" spans="1:13">
      <c r="A24" s="2771" t="s">
        <v>2526</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2564</v>
      </c>
      <c r="M24" s="2794">
        <v>10</v>
      </c>
    </row>
    <row r="25" spans="1:13">
      <c r="A25" s="2771" t="s">
        <v>2527</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2568</v>
      </c>
      <c r="M25" s="2794">
        <v>8</v>
      </c>
    </row>
    <row r="26" spans="1:13">
      <c r="A26" s="2776"/>
      <c r="B26" s="2777"/>
      <c r="C26" s="2777"/>
      <c r="D26" s="2777"/>
      <c r="E26" s="2777"/>
      <c r="F26" s="2777"/>
      <c r="G26" s="2778"/>
      <c r="I26" s="2794">
        <v>30</v>
      </c>
      <c r="J26" s="2794">
        <v>90.5</v>
      </c>
      <c r="K26" s="2794">
        <f t="shared" si="2"/>
        <v>4.2000000000000028</v>
      </c>
      <c r="L26" s="2794" t="s">
        <v>2569</v>
      </c>
      <c r="M26" s="2794">
        <v>5</v>
      </c>
    </row>
    <row r="27" spans="1:13">
      <c r="A27" s="2776" t="s">
        <v>2528</v>
      </c>
      <c r="B27" s="2777"/>
      <c r="C27" s="2777"/>
      <c r="D27" s="2777"/>
      <c r="E27" s="2777"/>
      <c r="F27" s="2777"/>
      <c r="G27" s="2778"/>
      <c r="I27" s="2794">
        <v>35</v>
      </c>
      <c r="J27" s="2794">
        <v>93.8</v>
      </c>
      <c r="K27" s="2794">
        <f t="shared" si="2"/>
        <v>3.2999999999999972</v>
      </c>
      <c r="L27" s="2794" t="s">
        <v>2570</v>
      </c>
      <c r="M27" s="2794">
        <v>3</v>
      </c>
    </row>
    <row r="28" spans="1:13">
      <c r="A28" s="2776" t="s">
        <v>2529</v>
      </c>
      <c r="B28" s="2777"/>
      <c r="C28" s="2777"/>
      <c r="D28" s="2777"/>
      <c r="E28" s="2777"/>
      <c r="F28" s="2777"/>
      <c r="G28" s="2778"/>
      <c r="I28" s="2794">
        <v>40</v>
      </c>
      <c r="J28" s="2794">
        <v>96.4</v>
      </c>
      <c r="K28" s="2794">
        <f t="shared" si="2"/>
        <v>2.6000000000000085</v>
      </c>
      <c r="L28" s="2794" t="s">
        <v>2571</v>
      </c>
      <c r="M28" s="2794">
        <v>2</v>
      </c>
    </row>
    <row r="29" spans="1:13">
      <c r="A29" s="2776" t="s">
        <v>2530</v>
      </c>
      <c r="B29" s="2777"/>
      <c r="C29" s="2777"/>
      <c r="D29" s="2777"/>
      <c r="E29" s="2777"/>
      <c r="F29" s="2777"/>
      <c r="G29" s="2778"/>
      <c r="I29" s="2794">
        <v>45</v>
      </c>
      <c r="J29" s="2794">
        <v>98.4</v>
      </c>
      <c r="K29" s="2794">
        <f t="shared" si="2"/>
        <v>2</v>
      </c>
    </row>
    <row r="30" spans="1:13">
      <c r="A30" s="2776" t="s">
        <v>2531</v>
      </c>
      <c r="B30" s="2777"/>
      <c r="C30" s="2777"/>
      <c r="D30" s="2777"/>
      <c r="E30" s="2777"/>
      <c r="F30" s="2777"/>
      <c r="G30" s="2778"/>
      <c r="I30" s="2794">
        <v>50</v>
      </c>
      <c r="J30" s="2794">
        <v>100</v>
      </c>
      <c r="K30" s="2794">
        <f t="shared" si="2"/>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3">J36-J35</f>
        <v>9.2999999999999972</v>
      </c>
      <c r="L36" s="2794" t="s">
        <v>2565</v>
      </c>
      <c r="M36" s="2794" t="s">
        <v>2566</v>
      </c>
    </row>
    <row r="37" spans="1:13">
      <c r="A37" s="2776" t="s">
        <v>2538</v>
      </c>
      <c r="B37" s="2777"/>
      <c r="C37" s="2777"/>
      <c r="D37" s="2777"/>
      <c r="E37" s="2777"/>
      <c r="F37" s="2777"/>
      <c r="G37" s="2778"/>
      <c r="I37" s="2794">
        <v>20</v>
      </c>
      <c r="J37" s="2794">
        <v>83.6</v>
      </c>
      <c r="K37" s="2794">
        <f t="shared" si="3"/>
        <v>7.2999999999999972</v>
      </c>
      <c r="L37" s="2794" t="s">
        <v>2564</v>
      </c>
      <c r="M37" s="2794">
        <v>10</v>
      </c>
    </row>
    <row r="38" spans="1:13">
      <c r="A38" s="2776" t="s">
        <v>2539</v>
      </c>
      <c r="B38" s="2777"/>
      <c r="C38" s="2777"/>
      <c r="D38" s="2777"/>
      <c r="E38" s="2777"/>
      <c r="F38" s="2777"/>
      <c r="G38" s="2778"/>
      <c r="I38" s="2794">
        <v>25</v>
      </c>
      <c r="J38" s="2794">
        <v>89.3</v>
      </c>
      <c r="K38" s="2794">
        <f t="shared" si="3"/>
        <v>5.7000000000000028</v>
      </c>
      <c r="L38" s="2794" t="s">
        <v>2568</v>
      </c>
      <c r="M38" s="2794">
        <v>8</v>
      </c>
    </row>
    <row r="39" spans="1:13">
      <c r="A39" s="2776"/>
      <c r="B39" s="2777"/>
      <c r="C39" s="2777"/>
      <c r="D39" s="2777"/>
      <c r="E39" s="2777"/>
      <c r="F39" s="2777"/>
      <c r="G39" s="2778"/>
      <c r="I39" s="2794">
        <v>30</v>
      </c>
      <c r="J39" s="2794">
        <v>93.8</v>
      </c>
      <c r="K39" s="2794">
        <f t="shared" si="3"/>
        <v>4.5</v>
      </c>
      <c r="L39" s="2794" t="s">
        <v>2569</v>
      </c>
      <c r="M39" s="2794">
        <v>6</v>
      </c>
    </row>
    <row r="40" spans="1:13">
      <c r="A40" s="2779" t="s">
        <v>2540</v>
      </c>
      <c r="B40" s="2780"/>
      <c r="C40" s="2780"/>
      <c r="D40" s="2780"/>
      <c r="E40" s="2780"/>
      <c r="F40" s="2780"/>
      <c r="G40" s="2781"/>
      <c r="I40" s="2794">
        <v>35</v>
      </c>
      <c r="J40" s="2794">
        <v>97.2</v>
      </c>
      <c r="K40" s="2794">
        <f t="shared" si="3"/>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3"/>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2162</v>
      </c>
      <c r="B1" s="3314" t="str">
        <f>IF(B10="北京市","北京市",C10)&amp;F10&amp;IF(结果表!G1="在建","出让国有建设用地使用权及在建建筑物",IF(结果表!G1="土地","出让国有建设用地使用权",))&amp;B9&amp;"预评估"</f>
        <v>河北省张家口市下花园区110国道北侧“京北金茂悦”项目房地产市场价值预评估</v>
      </c>
      <c r="C1" s="3315"/>
      <c r="D1" s="3315"/>
      <c r="E1" s="3315"/>
      <c r="F1" s="3315"/>
      <c r="G1" s="3315"/>
      <c r="H1" s="3315"/>
      <c r="I1" s="3316"/>
      <c r="J1" s="2240"/>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河北省张家口市下花园区110国道北侧“京北金茂悦”项目房地产市场价值</v>
      </c>
      <c r="T1" s="1617"/>
      <c r="U1" s="1617"/>
      <c r="V1" s="1617"/>
      <c r="W1" s="1617"/>
      <c r="X1" s="1617"/>
      <c r="Y1" s="1617"/>
      <c r="Z1" s="1617"/>
      <c r="AA1" s="1617"/>
      <c r="AB1" s="1617"/>
    </row>
    <row r="2" spans="1:30">
      <c r="A2" s="2178" t="s">
        <v>2163</v>
      </c>
      <c r="B2" s="122"/>
      <c r="D2" s="2442"/>
      <c r="E2" s="2436"/>
      <c r="F2" s="2436"/>
      <c r="G2" s="2437"/>
      <c r="H2" s="2437"/>
      <c r="I2" s="2437"/>
      <c r="J2" s="2240"/>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河北省张家口市下花园区110国道北侧“京北金茂悦”项目房地产</v>
      </c>
      <c r="T2" s="1617"/>
      <c r="U2" s="1617"/>
      <c r="V2" s="1617"/>
      <c r="W2" s="1617"/>
      <c r="X2" s="1617"/>
      <c r="Y2" s="1617"/>
      <c r="Z2" s="1617"/>
      <c r="AA2" s="1617"/>
      <c r="AB2" s="1617"/>
    </row>
    <row r="3" spans="1:30">
      <c r="A3" s="294" t="s">
        <v>2164</v>
      </c>
      <c r="B3" s="2181"/>
      <c r="C3" s="2182" t="s">
        <v>2165</v>
      </c>
      <c r="D3" s="2181">
        <v>45291</v>
      </c>
      <c r="E3" s="2437"/>
      <c r="F3" s="2437"/>
      <c r="G3" s="2437"/>
      <c r="H3" s="2437"/>
      <c r="I3" s="2437"/>
      <c r="J3" s="2240"/>
      <c r="K3" s="2179"/>
      <c r="L3" s="2180"/>
      <c r="M3" s="2180"/>
      <c r="N3" s="2178"/>
      <c r="O3" s="1465"/>
      <c r="P3" s="2178"/>
      <c r="Q3" s="2178"/>
      <c r="R3" s="2178"/>
      <c r="S3" s="1560"/>
      <c r="T3" s="1617"/>
      <c r="U3" s="1617"/>
      <c r="V3" s="1617"/>
      <c r="W3" s="1617"/>
      <c r="X3" s="1617"/>
      <c r="Y3" s="1617"/>
      <c r="Z3" s="1617"/>
      <c r="AA3" s="1617"/>
      <c r="AB3" s="1617"/>
    </row>
    <row r="4" spans="1:30" ht="13.5" thickBot="1">
      <c r="A4" s="1027" t="s">
        <v>2166</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0"/>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2167</v>
      </c>
      <c r="B5" s="2187"/>
      <c r="C5" s="2188"/>
      <c r="D5" s="2189"/>
      <c r="E5" s="2437"/>
      <c r="F5" s="2437"/>
      <c r="G5" s="2437"/>
      <c r="H5" s="2437"/>
      <c r="I5" s="2437"/>
      <c r="J5" s="2240"/>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2168</v>
      </c>
      <c r="B6" s="2191"/>
      <c r="C6" s="2192"/>
      <c r="D6" s="2193"/>
      <c r="E6" s="2436"/>
      <c r="F6" s="2437"/>
      <c r="G6" s="2437"/>
      <c r="H6" s="2437"/>
      <c r="I6" s="2437"/>
      <c r="J6" s="2240"/>
      <c r="K6" s="2396" t="str">
        <f>IF(COUNTIF(B6,"*上海银行*"),"上海银行","")</f>
        <v/>
      </c>
      <c r="L6" s="2394"/>
      <c r="M6" s="2394"/>
      <c r="N6" s="2240"/>
      <c r="O6" s="1669"/>
      <c r="P6" s="2240"/>
      <c r="Q6" s="2240"/>
      <c r="R6" s="2240"/>
    </row>
    <row r="7" spans="1:30">
      <c r="A7" s="2190" t="s">
        <v>2169</v>
      </c>
      <c r="B7" s="2194"/>
      <c r="C7" s="2192"/>
      <c r="D7" s="2193"/>
      <c r="E7" s="2436"/>
      <c r="F7" s="2437"/>
      <c r="G7" s="2437"/>
      <c r="H7" s="2437"/>
      <c r="I7" s="2437"/>
      <c r="J7" s="2240"/>
      <c r="K7" s="2397"/>
      <c r="L7" s="2394"/>
      <c r="M7" s="2394"/>
      <c r="N7" s="2240"/>
      <c r="O7" s="1669"/>
      <c r="P7" s="2240"/>
      <c r="Q7" s="2240"/>
      <c r="R7" s="2240"/>
    </row>
    <row r="8" spans="1:30">
      <c r="A8" s="2195" t="s">
        <v>2170</v>
      </c>
      <c r="B8" s="2196" t="s">
        <v>3378</v>
      </c>
      <c r="C8" s="2197"/>
      <c r="D8" s="3317" t="s">
        <v>2171</v>
      </c>
      <c r="E8" s="2198"/>
      <c r="F8" s="2199"/>
      <c r="G8" s="2437"/>
      <c r="H8" s="2437"/>
      <c r="I8" s="2437"/>
      <c r="J8" s="2240"/>
      <c r="K8" s="2395"/>
      <c r="L8" s="2394"/>
      <c r="M8" s="2394"/>
      <c r="N8" s="2240"/>
      <c r="O8" s="1669"/>
      <c r="P8" s="2240"/>
      <c r="Q8" s="2240"/>
      <c r="R8" s="2240"/>
    </row>
    <row r="9" spans="1:30" ht="13.5" thickBot="1">
      <c r="A9" s="2200" t="s">
        <v>2172</v>
      </c>
      <c r="B9" s="2201" t="s">
        <v>3377</v>
      </c>
      <c r="C9" s="2202"/>
      <c r="D9" s="3318"/>
      <c r="E9" s="2201"/>
      <c r="F9" s="2203"/>
      <c r="G9" s="2438"/>
      <c r="H9" s="2438"/>
      <c r="I9" s="2438"/>
      <c r="J9" s="2240"/>
      <c r="K9" s="2397"/>
      <c r="L9" s="2394"/>
      <c r="M9" s="2394"/>
      <c r="N9" s="2240"/>
      <c r="O9" s="1669"/>
      <c r="P9" s="2240"/>
      <c r="Q9" s="2240"/>
      <c r="R9" s="2240"/>
    </row>
    <row r="10" spans="1:30" ht="24.75" thickTop="1">
      <c r="A10" s="2204" t="s">
        <v>2173</v>
      </c>
      <c r="B10" s="2205" t="s">
        <v>3379</v>
      </c>
      <c r="C10" s="3178" t="s">
        <v>4090</v>
      </c>
      <c r="D10" s="2189"/>
      <c r="E10" s="2206" t="s">
        <v>2174</v>
      </c>
      <c r="F10" s="3179" t="s">
        <v>4091</v>
      </c>
      <c r="G10" s="2439"/>
      <c r="H10" s="2440"/>
      <c r="I10" s="2441"/>
      <c r="J10" s="2240"/>
      <c r="K10" s="2397"/>
      <c r="L10" s="2394"/>
      <c r="M10" s="2394"/>
      <c r="N10" s="2240"/>
      <c r="O10" s="1669"/>
      <c r="P10" s="2240"/>
      <c r="Q10" s="2240"/>
      <c r="R10" s="2240"/>
    </row>
    <row r="11" spans="1:30">
      <c r="A11" s="2207" t="s">
        <v>2175</v>
      </c>
      <c r="B11" s="2208" t="s">
        <v>3380</v>
      </c>
      <c r="C11" s="2209"/>
      <c r="D11" s="2210"/>
      <c r="E11" s="2178"/>
      <c r="F11" s="2178"/>
      <c r="G11" s="2178"/>
      <c r="H11" s="2178"/>
      <c r="I11" s="2178"/>
      <c r="J11" s="2796"/>
      <c r="K11" s="2394"/>
      <c r="L11" s="2394"/>
      <c r="M11" s="2394"/>
      <c r="N11" s="2240"/>
      <c r="O11" s="1669"/>
      <c r="P11" s="2240"/>
      <c r="Q11" s="2240"/>
      <c r="R11" s="2240"/>
    </row>
    <row r="12" spans="1:30">
      <c r="A12" s="2211" t="s">
        <v>2176</v>
      </c>
      <c r="B12" s="315" t="s">
        <v>2177</v>
      </c>
      <c r="C12" s="2212" t="s">
        <v>2178</v>
      </c>
      <c r="D12" s="2212" t="s">
        <v>2179</v>
      </c>
      <c r="E12" s="2212" t="s">
        <v>2180</v>
      </c>
      <c r="F12" s="2212" t="s">
        <v>2181</v>
      </c>
      <c r="G12" s="2212" t="s">
        <v>2182</v>
      </c>
      <c r="H12" s="2212" t="s">
        <v>2183</v>
      </c>
      <c r="I12" s="2795" t="s">
        <v>2574</v>
      </c>
      <c r="J12" s="2797"/>
      <c r="K12" s="2394"/>
      <c r="L12" s="2394"/>
      <c r="M12" s="2240"/>
      <c r="N12" s="1669"/>
      <c r="O12" s="2240"/>
      <c r="P12" s="2240"/>
      <c r="Q12" s="2240"/>
      <c r="AD12" s="1617"/>
    </row>
    <row r="13" spans="1:30">
      <c r="A13" s="3116" t="s">
        <v>3330</v>
      </c>
      <c r="B13" s="2213" t="s">
        <v>2184</v>
      </c>
      <c r="C13" s="803">
        <v>69239</v>
      </c>
      <c r="D13" s="803">
        <v>58281</v>
      </c>
      <c r="E13" s="803"/>
      <c r="F13" s="803">
        <v>61934</v>
      </c>
      <c r="G13" s="803"/>
      <c r="H13" s="803"/>
      <c r="I13" s="803"/>
      <c r="J13" s="2797"/>
      <c r="K13" s="2394"/>
      <c r="L13" s="2394"/>
      <c r="M13" s="2240"/>
      <c r="N13" s="1669"/>
      <c r="O13" s="2240"/>
      <c r="P13" s="2240"/>
      <c r="Q13" s="2240"/>
      <c r="AD13" s="1617"/>
    </row>
    <row r="14" spans="1:30">
      <c r="A14" s="1018"/>
      <c r="B14" s="2213" t="s">
        <v>2185</v>
      </c>
      <c r="C14" s="2214">
        <v>70</v>
      </c>
      <c r="D14" s="2214">
        <v>40</v>
      </c>
      <c r="E14" s="2214"/>
      <c r="F14" s="2214">
        <v>50</v>
      </c>
      <c r="G14" s="2214"/>
      <c r="H14" s="2214"/>
      <c r="I14" s="2214"/>
      <c r="J14" s="2798"/>
      <c r="K14" s="2394"/>
      <c r="L14" s="2394"/>
      <c r="M14" s="2240"/>
      <c r="N14" s="1669"/>
      <c r="O14" s="2240"/>
      <c r="P14" s="2240"/>
      <c r="Q14" s="2240"/>
      <c r="AD14" s="1617"/>
    </row>
    <row r="15" spans="1:30">
      <c r="A15" s="312"/>
      <c r="B15" s="2215" t="s">
        <v>2186</v>
      </c>
      <c r="C15" s="2216">
        <f>IF(A13="出让",IF(C13="","",ROUNDDOWN(MIN((C13-$D$3)/365,C14),2)),C14)</f>
        <v>65.61</v>
      </c>
      <c r="D15" s="2216">
        <f>IF(A13="出让",IF(D13="","",ROUNDDOWN(MIN((D13-$D$3)/365,D14),2)),D14)</f>
        <v>35.58</v>
      </c>
      <c r="E15" s="2216" t="str">
        <f>IF(A13="出让",IF(E13="","",ROUNDDOWN(MIN((E13-$D$3)/365,E14),2)),E14)</f>
        <v/>
      </c>
      <c r="F15" s="2216">
        <f>IF(A13="出让",IF(F13="","",ROUNDDOWN(MIN((F13-$D$3)/365,F14),2)),F14)</f>
        <v>45.59</v>
      </c>
      <c r="G15" s="2216" t="str">
        <f>IF(A13="出让",IF(G13="","",ROUNDDOWN(MIN((G13-$D$3)/365,G14),2)),G14)</f>
        <v/>
      </c>
      <c r="H15" s="2216" t="str">
        <f>IF(A13="出让",IF(H13="","",ROUNDDOWN(MIN((H13-$D$3)/365,H14),2)),H14)</f>
        <v/>
      </c>
      <c r="I15" s="2216" t="str">
        <f>IF(A13="出让",IF(I13="","",ROUNDDOWN(MIN((I13-$D$3)/365,I14),2)),I14)</f>
        <v/>
      </c>
      <c r="J15" s="2799"/>
      <c r="K15" s="1669"/>
      <c r="L15" s="1669"/>
      <c r="M15" s="2240"/>
      <c r="N15" s="1669"/>
      <c r="O15" s="2240"/>
      <c r="P15" s="2240"/>
      <c r="Q15" s="2240"/>
      <c r="AD15" s="1617"/>
    </row>
    <row r="16" spans="1:30">
      <c r="A16" s="2206" t="s">
        <v>2187</v>
      </c>
      <c r="B16" s="3324"/>
      <c r="C16" s="3325"/>
      <c r="D16" s="3326"/>
      <c r="E16" s="2217" t="s">
        <v>2188</v>
      </c>
      <c r="F16" s="3327"/>
      <c r="G16" s="3328"/>
      <c r="H16" s="3328"/>
      <c r="I16" s="3329"/>
      <c r="J16" s="2240"/>
      <c r="K16" s="2398"/>
      <c r="L16" s="1669"/>
      <c r="M16" s="1669"/>
      <c r="N16" s="2240"/>
      <c r="O16" s="1669"/>
      <c r="P16" s="2240"/>
      <c r="Q16" s="2240"/>
      <c r="R16" s="2240"/>
    </row>
    <row r="17" spans="1:28">
      <c r="A17" s="305" t="s">
        <v>2189</v>
      </c>
      <c r="B17" s="294" t="s">
        <v>2190</v>
      </c>
      <c r="C17" s="8">
        <f>'数据-汇总表'!E3</f>
        <v>86196.960000000021</v>
      </c>
      <c r="D17" s="1255" t="s">
        <v>2191</v>
      </c>
      <c r="E17" s="3330" t="s">
        <v>2192</v>
      </c>
      <c r="F17" s="3331"/>
      <c r="G17" s="3331"/>
      <c r="H17" s="3331"/>
      <c r="I17" s="3332"/>
      <c r="J17" s="2240"/>
      <c r="K17" s="2399"/>
      <c r="L17" s="1669"/>
      <c r="M17" s="1669"/>
      <c r="N17" s="2240"/>
      <c r="O17" s="1669"/>
      <c r="P17" s="2240"/>
      <c r="Q17" s="2240"/>
      <c r="R17" s="2240"/>
      <c r="S17" s="2240"/>
      <c r="T17" s="2240"/>
      <c r="U17" s="2240"/>
      <c r="V17" s="2240"/>
    </row>
    <row r="18" spans="1:28" ht="24.75" thickBot="1">
      <c r="A18" s="2218" t="s">
        <v>2193</v>
      </c>
      <c r="B18" s="1027" t="s">
        <v>2194</v>
      </c>
      <c r="C18" s="2219">
        <f>'数据-汇总表'!D3</f>
        <v>0</v>
      </c>
      <c r="D18" s="1029" t="s">
        <v>2195</v>
      </c>
      <c r="E18" s="3333" t="s">
        <v>2196</v>
      </c>
      <c r="F18" s="3334"/>
      <c r="G18" s="3334"/>
      <c r="H18" s="3334"/>
      <c r="I18" s="3335"/>
      <c r="J18" s="2240"/>
      <c r="K18" s="2399"/>
      <c r="L18" s="1669"/>
      <c r="M18" s="1669"/>
      <c r="N18" s="2240"/>
      <c r="O18" s="1669"/>
      <c r="P18" s="2240"/>
      <c r="Q18" s="2240"/>
      <c r="R18" s="2240"/>
      <c r="S18" s="2240"/>
      <c r="T18" s="2240"/>
      <c r="U18" s="2240"/>
      <c r="V18" s="2240"/>
    </row>
    <row r="19" spans="1:28" ht="37.5" thickTop="1" thickBot="1">
      <c r="A19" s="319" t="s">
        <v>1049</v>
      </c>
      <c r="B19" s="299" t="s">
        <v>2197</v>
      </c>
      <c r="C19" s="1454"/>
      <c r="D19" s="1455" t="s">
        <v>2198</v>
      </c>
      <c r="E19" s="1456"/>
      <c r="F19" s="1457" t="str">
        <f>IF(AND(C19="是",E19="否"),"是否提供他项权证或相关说明","")</f>
        <v/>
      </c>
      <c r="G19" s="1458"/>
      <c r="H19" s="2437"/>
      <c r="I19" s="2437"/>
      <c r="J19" s="2240"/>
      <c r="K19" s="2397"/>
      <c r="L19" s="2394"/>
      <c r="M19" s="2394"/>
      <c r="N19" s="2240"/>
      <c r="O19" s="1669"/>
      <c r="P19" s="2240"/>
      <c r="Q19" s="2240"/>
      <c r="R19" s="2240"/>
      <c r="S19" s="2240"/>
      <c r="T19" s="2240"/>
      <c r="U19" s="2240"/>
      <c r="V19" s="2240"/>
    </row>
    <row r="20" spans="1:28">
      <c r="A20" s="2412" t="s">
        <v>2199</v>
      </c>
      <c r="B20" s="3320" t="s">
        <v>2200</v>
      </c>
      <c r="C20" s="3321"/>
      <c r="D20" s="3322" t="s">
        <v>2201</v>
      </c>
      <c r="E20" s="3323"/>
      <c r="F20" s="2425" t="s">
        <v>1050</v>
      </c>
      <c r="G20" s="2437"/>
      <c r="H20" s="2437"/>
      <c r="I20" s="2437"/>
      <c r="J20" s="2240"/>
      <c r="K20" s="3319"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2203</v>
      </c>
      <c r="C21" s="2291" t="s">
        <v>1051</v>
      </c>
      <c r="D21" s="1459" t="s">
        <v>2204</v>
      </c>
      <c r="E21" s="2414" t="s">
        <v>1051</v>
      </c>
      <c r="F21" s="2426"/>
      <c r="G21" s="2437"/>
      <c r="H21" s="2437"/>
      <c r="I21" s="2437"/>
      <c r="J21" s="2240"/>
      <c r="K21" s="33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2205</v>
      </c>
      <c r="C22" s="2291" t="s">
        <v>1052</v>
      </c>
      <c r="D22" s="2437"/>
      <c r="E22" s="2437"/>
      <c r="F22" s="2437"/>
      <c r="G22" s="2437"/>
      <c r="H22" s="2437"/>
      <c r="I22" s="2437"/>
      <c r="J22" s="2240"/>
      <c r="K22" s="33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2206</v>
      </c>
      <c r="B23" s="2288" t="s">
        <v>2207</v>
      </c>
      <c r="C23" s="2417"/>
      <c r="D23" s="2418" t="s">
        <v>2207</v>
      </c>
      <c r="E23" s="2419"/>
      <c r="F23" s="2437"/>
      <c r="G23" s="2437"/>
      <c r="H23" s="2437"/>
      <c r="I23" s="2437"/>
      <c r="J23" s="2240"/>
      <c r="K23" s="2396"/>
      <c r="L23" s="121"/>
      <c r="M23" s="2394"/>
      <c r="N23" s="2240"/>
      <c r="O23" s="1669"/>
      <c r="P23" s="2240"/>
      <c r="Q23" s="2240"/>
      <c r="R23" s="2240"/>
      <c r="S23" s="2240"/>
      <c r="T23" s="2240"/>
      <c r="U23" s="2240"/>
      <c r="V23" s="2240"/>
    </row>
    <row r="24" spans="1:28">
      <c r="A24" s="2416"/>
      <c r="B24" s="2288" t="s">
        <v>1053</v>
      </c>
      <c r="C24" s="2266"/>
      <c r="D24" s="2416" t="s">
        <v>1053</v>
      </c>
      <c r="E24" s="2420"/>
      <c r="F24" s="2437"/>
      <c r="G24" s="2437"/>
      <c r="H24" s="2437"/>
      <c r="I24" s="2437"/>
      <c r="J24" s="2240"/>
      <c r="K24" s="2396"/>
      <c r="L24" s="121"/>
      <c r="M24" s="2394"/>
      <c r="N24" s="2240"/>
      <c r="O24" s="1669"/>
      <c r="P24" s="2240"/>
      <c r="Q24" s="2240"/>
      <c r="R24" s="2240"/>
      <c r="S24" s="2240"/>
      <c r="T24" s="2240"/>
      <c r="U24" s="2240"/>
      <c r="V24" s="2240"/>
    </row>
    <row r="25" spans="1:28">
      <c r="A25" s="2416"/>
      <c r="B25" s="2288" t="s">
        <v>1054</v>
      </c>
      <c r="C25" s="2266"/>
      <c r="D25" s="2416" t="s">
        <v>1054</v>
      </c>
      <c r="E25" s="2420"/>
      <c r="F25" s="2437"/>
      <c r="G25" s="2437"/>
      <c r="H25" s="2437"/>
      <c r="I25" s="2437"/>
      <c r="J25" s="2240"/>
      <c r="K25" s="2397"/>
      <c r="L25" s="2394"/>
      <c r="M25" s="2394"/>
      <c r="N25" s="2240"/>
      <c r="O25" s="1669"/>
      <c r="P25" s="2240"/>
      <c r="Q25" s="2240"/>
      <c r="R25" s="2240"/>
      <c r="S25" s="2240"/>
      <c r="T25" s="2240"/>
      <c r="U25" s="2240"/>
      <c r="V25" s="2240"/>
    </row>
    <row r="26" spans="1:28" ht="13.5" thickBot="1">
      <c r="A26" s="2421"/>
      <c r="B26" s="2422" t="s">
        <v>1055</v>
      </c>
      <c r="C26" s="2423"/>
      <c r="D26" s="2421" t="s">
        <v>1055</v>
      </c>
      <c r="E26" s="2424"/>
      <c r="F26" s="2438"/>
      <c r="G26" s="2438"/>
      <c r="H26" s="2438"/>
      <c r="I26" s="2438"/>
      <c r="J26" s="2240"/>
      <c r="K26" s="2397"/>
      <c r="L26" s="2394"/>
      <c r="M26" s="2394"/>
      <c r="N26" s="2240"/>
      <c r="O26" s="1669"/>
      <c r="P26" s="2240"/>
      <c r="Q26" s="2240"/>
      <c r="R26" s="2240"/>
      <c r="S26" s="2240"/>
      <c r="T26" s="2240"/>
      <c r="U26" s="2240"/>
      <c r="V26" s="2240"/>
    </row>
    <row r="27" spans="1:28" ht="13.5" thickTop="1">
      <c r="A27" s="3308" t="s">
        <v>2208</v>
      </c>
      <c r="B27" s="312" t="s">
        <v>2209</v>
      </c>
      <c r="C27" s="2220" t="s">
        <v>3381</v>
      </c>
      <c r="D27" s="2221"/>
      <c r="E27" s="2437"/>
      <c r="F27" s="2437"/>
      <c r="G27" s="2437"/>
      <c r="H27" s="2437"/>
      <c r="I27" s="2437"/>
      <c r="J27" s="2240"/>
      <c r="K27" s="2398"/>
      <c r="L27" s="1669"/>
      <c r="M27" s="1669"/>
      <c r="N27" s="2240"/>
      <c r="O27" s="1669"/>
      <c r="P27" s="2240"/>
      <c r="Q27" s="2240"/>
      <c r="R27" s="2240"/>
      <c r="S27" s="2240"/>
      <c r="T27" s="2240"/>
      <c r="U27" s="2240"/>
      <c r="V27" s="2240"/>
    </row>
    <row r="28" spans="1:28">
      <c r="A28" s="3308"/>
      <c r="B28" s="294" t="s">
        <v>2210</v>
      </c>
      <c r="C28" s="2222" t="s">
        <v>3382</v>
      </c>
      <c r="D28" s="2223"/>
      <c r="E28" s="2437"/>
      <c r="F28" s="2437"/>
      <c r="G28" s="2437"/>
      <c r="H28" s="2437"/>
      <c r="I28" s="2437"/>
      <c r="J28" s="2240"/>
      <c r="K28" s="2397"/>
      <c r="L28" s="2394"/>
      <c r="M28" s="2394"/>
      <c r="N28" s="2240"/>
      <c r="O28" s="1669"/>
      <c r="P28" s="2240"/>
      <c r="Q28" s="2240"/>
      <c r="R28" s="2240"/>
      <c r="S28" s="2240"/>
      <c r="T28" s="2240"/>
      <c r="U28" s="2240"/>
      <c r="V28" s="2240"/>
    </row>
    <row r="29" spans="1:28">
      <c r="A29" s="3308"/>
      <c r="B29" s="294" t="s">
        <v>2211</v>
      </c>
      <c r="C29" s="2224" t="s">
        <v>3383</v>
      </c>
      <c r="D29" s="2225"/>
      <c r="E29" s="2437"/>
      <c r="F29" s="2437"/>
      <c r="G29" s="2437"/>
      <c r="H29" s="2437"/>
      <c r="I29" s="2437"/>
      <c r="J29" s="2240"/>
      <c r="K29" s="2397"/>
      <c r="L29" s="2394"/>
      <c r="M29" s="2394"/>
      <c r="N29" s="2240"/>
      <c r="O29" s="1669"/>
      <c r="P29" s="2240"/>
      <c r="Q29" s="2240"/>
      <c r="R29" s="2240"/>
      <c r="S29" s="2240"/>
      <c r="T29" s="2240"/>
      <c r="U29" s="2240"/>
      <c r="V29" s="2240"/>
    </row>
    <row r="30" spans="1:28">
      <c r="A30" s="3309"/>
      <c r="B30" s="294" t="s">
        <v>2212</v>
      </c>
      <c r="C30" s="3310"/>
      <c r="D30" s="3311"/>
      <c r="E30" s="2437"/>
      <c r="F30" s="2437"/>
      <c r="G30" s="2437"/>
      <c r="H30" s="2437"/>
      <c r="I30" s="2437"/>
      <c r="J30" s="2240"/>
      <c r="K30" s="2397"/>
      <c r="L30" s="2394"/>
      <c r="M30" s="2394"/>
      <c r="N30" s="2240"/>
      <c r="O30" s="1669"/>
      <c r="P30" s="2240"/>
      <c r="Q30" s="2240"/>
      <c r="R30" s="2240"/>
      <c r="S30" s="2240"/>
      <c r="T30" s="2240"/>
      <c r="U30" s="2240"/>
      <c r="V30" s="2240"/>
    </row>
    <row r="31" spans="1:28">
      <c r="A31" s="3312" t="s">
        <v>2213</v>
      </c>
      <c r="B31" s="2226" t="s">
        <v>3384</v>
      </c>
      <c r="C31" s="12" t="str">
        <f>IF(B31="现房","成新及维护状况正常否",IF(B31="在建","工程状态是否正常",IF(B31="土地","是否闲置","-")))</f>
        <v>成新及维护状况正常否</v>
      </c>
      <c r="D31" s="1280"/>
      <c r="E31" s="2227"/>
      <c r="F31" s="2437"/>
      <c r="G31" s="2437"/>
      <c r="H31" s="2437"/>
      <c r="I31" s="2437"/>
      <c r="J31" s="2240"/>
      <c r="K31" s="2396"/>
      <c r="L31" s="2394"/>
      <c r="M31" s="2394"/>
      <c r="N31" s="2240"/>
      <c r="O31" s="1669"/>
      <c r="P31" s="2240"/>
      <c r="Q31" s="2240"/>
      <c r="R31" s="2240"/>
      <c r="S31" s="2240"/>
      <c r="T31" s="2240"/>
      <c r="U31" s="2240"/>
      <c r="V31" s="2240"/>
    </row>
    <row r="32" spans="1:28">
      <c r="A32" s="3313"/>
      <c r="B32" s="2226"/>
      <c r="C32" s="12" t="str">
        <f>IF(B32="现房","成新及维护状况是否正常",IF(B32="在建","工程状态是否正常",IF(B32="土地","是否闲置","-")))</f>
        <v>-</v>
      </c>
      <c r="D32" s="1280"/>
      <c r="E32" s="2227"/>
      <c r="F32" s="2437"/>
      <c r="G32" s="2437"/>
      <c r="H32" s="2437"/>
      <c r="I32" s="2437"/>
      <c r="J32" s="2240"/>
      <c r="K32" s="2397"/>
      <c r="L32" s="2394"/>
      <c r="M32" s="2394"/>
      <c r="N32" s="2240"/>
      <c r="O32" s="1669"/>
      <c r="P32" s="2240"/>
      <c r="Q32" s="2240"/>
      <c r="R32" s="2240"/>
      <c r="S32" s="2240"/>
      <c r="T32" s="2240"/>
      <c r="U32" s="2240"/>
      <c r="V32" s="2240"/>
    </row>
    <row r="33" spans="1:30">
      <c r="A33" s="3313"/>
      <c r="B33" s="2229"/>
      <c r="C33" s="1477" t="str">
        <f>IF(B33="现房","成新及维护状况是否正常",IF(B33="在建","工程状态是否正常",IF(B33="土地","是否闲置","-")))</f>
        <v>-</v>
      </c>
      <c r="D33" s="1273"/>
      <c r="E33" s="2230"/>
      <c r="F33" s="2437"/>
      <c r="G33" s="2437"/>
      <c r="H33" s="2437"/>
      <c r="I33" s="2437"/>
      <c r="J33" s="2240"/>
      <c r="K33" s="2397"/>
      <c r="L33" s="2394"/>
      <c r="M33" s="2394"/>
      <c r="N33" s="2240"/>
      <c r="O33" s="1669"/>
      <c r="P33" s="2240"/>
      <c r="Q33" s="2240"/>
      <c r="R33" s="2240"/>
      <c r="S33" s="2240"/>
      <c r="T33" s="2240"/>
      <c r="U33" s="2240"/>
      <c r="V33" s="2240"/>
    </row>
    <row r="34" spans="1:30">
      <c r="A34" s="294" t="s">
        <v>2214</v>
      </c>
      <c r="B34" s="1866"/>
      <c r="C34" s="1866"/>
      <c r="D34" s="1866"/>
      <c r="E34" s="1866"/>
      <c r="F34" s="1866"/>
      <c r="G34" s="1866"/>
      <c r="H34" s="1866"/>
      <c r="I34" s="2437"/>
      <c r="J34" s="2240"/>
      <c r="K34" s="8">
        <f>COUNTIF(B34:H34,"——")</f>
        <v>0</v>
      </c>
      <c r="L34" s="315" t="s">
        <v>2215</v>
      </c>
      <c r="M34" s="315" t="s">
        <v>2216</v>
      </c>
      <c r="N34" s="315" t="s">
        <v>2217</v>
      </c>
      <c r="O34" s="315" t="s">
        <v>2218</v>
      </c>
      <c r="P34" s="315" t="s">
        <v>2219</v>
      </c>
      <c r="Q34" s="315" t="s">
        <v>2220</v>
      </c>
      <c r="R34" s="315" t="s">
        <v>2221</v>
      </c>
      <c r="S34" s="3307" t="s">
        <v>2222</v>
      </c>
      <c r="T34" s="315" t="str">
        <f>NUMBERSTRING(7-K34,1)&amp;"通"</f>
        <v>七通</v>
      </c>
      <c r="U34" s="2240"/>
      <c r="V34" s="2240"/>
    </row>
    <row r="35" spans="1:30" ht="25.5">
      <c r="A35" s="2231"/>
      <c r="B35" s="3307" t="s">
        <v>2223</v>
      </c>
      <c r="C35" s="3307"/>
      <c r="D35" s="3307"/>
      <c r="E35" s="3307"/>
      <c r="F35" s="8" t="str">
        <f>C10</f>
        <v>河北省张家口市</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7"/>
      <c r="T35" s="138" t="str">
        <f>IF(T34="一通",L35,IF(T34="二通",M35,IF(T34="三通",N35,IF(T34="四通",O35,IF(T34="五通",P35,IF(T34="六通",Q35,R35))))))</f>
        <v>、、、、、、</v>
      </c>
      <c r="U35" s="2240"/>
      <c r="V35" s="2240"/>
    </row>
    <row r="36" spans="1:30">
      <c r="A36" s="2179"/>
      <c r="B36" s="8" t="s">
        <v>2179</v>
      </c>
      <c r="C36" s="8" t="s">
        <v>2180</v>
      </c>
      <c r="D36" s="8" t="s">
        <v>2178</v>
      </c>
      <c r="E36" s="8" t="s">
        <v>2183</v>
      </c>
      <c r="F36" s="2795" t="s">
        <v>2577</v>
      </c>
      <c r="G36" s="2437"/>
      <c r="H36" s="2437"/>
      <c r="I36" s="2437"/>
      <c r="J36" s="2240"/>
      <c r="K36" s="2397"/>
      <c r="L36" s="2394"/>
      <c r="M36" s="2394"/>
      <c r="N36" s="2240"/>
      <c r="O36" s="1669"/>
      <c r="P36" s="2240"/>
      <c r="Q36" s="2240"/>
      <c r="R36" s="2240"/>
      <c r="S36" s="2240"/>
      <c r="T36" s="2240"/>
      <c r="U36" s="2240"/>
      <c r="V36" s="2240"/>
    </row>
    <row r="37" spans="1:30">
      <c r="A37" s="2410" t="s">
        <v>2224</v>
      </c>
      <c r="B37" s="2232"/>
      <c r="C37" s="2232"/>
      <c r="D37" s="2232"/>
      <c r="E37" s="2232"/>
      <c r="F37" s="2232"/>
      <c r="G37" s="2437"/>
      <c r="H37" s="2437"/>
      <c r="I37" s="2437"/>
      <c r="J37" s="2240"/>
      <c r="K37" s="2397"/>
      <c r="L37" s="2394"/>
      <c r="M37" s="2394"/>
      <c r="N37" s="2240"/>
      <c r="O37" s="1669"/>
      <c r="P37" s="2240"/>
      <c r="Q37" s="2240"/>
      <c r="R37" s="2240"/>
      <c r="S37" s="2240"/>
      <c r="T37" s="2240"/>
      <c r="U37" s="2240"/>
      <c r="V37" s="2240"/>
    </row>
    <row r="38" spans="1:30" ht="13.5" thickBot="1">
      <c r="A38" s="2411" t="s">
        <v>2225</v>
      </c>
      <c r="B38" s="2233"/>
      <c r="C38" s="2233"/>
      <c r="D38" s="2233"/>
      <c r="E38" s="2233"/>
      <c r="F38" s="2233"/>
      <c r="G38" s="2438"/>
      <c r="H38" s="2438"/>
      <c r="I38" s="2438"/>
      <c r="J38" s="2240"/>
      <c r="K38" s="2397"/>
      <c r="L38" s="2394"/>
      <c r="M38" s="2394"/>
      <c r="N38" s="2240"/>
      <c r="O38" s="1669"/>
      <c r="P38" s="2240"/>
      <c r="Q38" s="2240"/>
      <c r="R38" s="2240"/>
      <c r="S38" s="2240"/>
      <c r="T38" s="2240"/>
      <c r="U38" s="2240"/>
      <c r="V38" s="2240"/>
    </row>
    <row r="39" spans="1:30" s="2236" customFormat="1" ht="14.25" thickTop="1" thickBot="1">
      <c r="A39" s="2234" t="s">
        <v>2226</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0"/>
      <c r="K40" s="2396"/>
      <c r="L40" s="1669"/>
      <c r="M40" s="1669"/>
      <c r="N40" s="2240"/>
      <c r="O40" s="1669"/>
      <c r="P40" s="2240"/>
      <c r="Q40" s="2240"/>
      <c r="R40" s="2240"/>
      <c r="S40" s="2240"/>
      <c r="T40" s="2240"/>
      <c r="U40" s="2240"/>
      <c r="V40" s="2240"/>
    </row>
    <row r="41" spans="1:30">
      <c r="A41" s="2237" t="s">
        <v>2227</v>
      </c>
      <c r="B41" s="1626"/>
      <c r="C41" s="1280"/>
      <c r="D41" s="2178"/>
      <c r="E41" s="2178"/>
      <c r="F41" s="2178"/>
      <c r="G41" s="2178"/>
      <c r="H41" s="2178"/>
      <c r="I41" s="1465"/>
      <c r="J41" s="2240"/>
      <c r="K41" s="2397"/>
      <c r="L41" s="2394"/>
      <c r="M41" s="2394"/>
      <c r="N41" s="2240"/>
      <c r="O41" s="1669"/>
      <c r="P41" s="2240"/>
      <c r="Q41" s="2240"/>
      <c r="R41" s="2240"/>
      <c r="S41" s="2240"/>
      <c r="T41" s="2240"/>
      <c r="U41" s="2240"/>
      <c r="V41" s="2240"/>
    </row>
    <row r="42" spans="1:30" ht="25.5">
      <c r="A42" s="315" t="s">
        <v>2228</v>
      </c>
      <c r="B42" s="8" t="s">
        <v>2229</v>
      </c>
      <c r="C42" s="8" t="s">
        <v>2230</v>
      </c>
      <c r="D42" s="8" t="s">
        <v>2231</v>
      </c>
      <c r="E42" s="8" t="s">
        <v>2232</v>
      </c>
      <c r="F42" s="8" t="s">
        <v>2233</v>
      </c>
      <c r="G42" s="8" t="s">
        <v>2234</v>
      </c>
      <c r="H42" s="8" t="s">
        <v>2235</v>
      </c>
      <c r="I42" s="8" t="s">
        <v>2236</v>
      </c>
      <c r="J42" s="2406" t="s">
        <v>2237</v>
      </c>
      <c r="K42" s="2407" t="s">
        <v>2238</v>
      </c>
      <c r="L42" s="2407" t="s">
        <v>2239</v>
      </c>
      <c r="M42" s="2407" t="s">
        <v>2240</v>
      </c>
      <c r="N42" s="2400" t="s">
        <v>2241</v>
      </c>
      <c r="O42" s="2400" t="s">
        <v>2242</v>
      </c>
      <c r="P42" s="2400" t="s">
        <v>2243</v>
      </c>
      <c r="Q42" s="2401" t="s">
        <v>2244</v>
      </c>
      <c r="R42" s="2401" t="s">
        <v>2245</v>
      </c>
      <c r="S42" s="2240"/>
      <c r="T42" s="2240"/>
      <c r="U42" s="2240"/>
      <c r="V42" s="2240"/>
    </row>
    <row r="43" spans="1:30" s="1615" customFormat="1">
      <c r="A43" s="1461"/>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5" customFormat="1">
      <c r="A44" s="1461"/>
      <c r="B44" s="1461"/>
      <c r="C44" s="628"/>
      <c r="D44" s="628"/>
      <c r="E44" s="628"/>
      <c r="F44" s="628"/>
      <c r="G44" s="628"/>
      <c r="H44" s="628"/>
      <c r="I44" s="628"/>
      <c r="J44" s="2238"/>
      <c r="K44" s="2239"/>
      <c r="L44" s="2239"/>
      <c r="M44" s="628"/>
      <c r="N44" s="628"/>
      <c r="O44" s="628"/>
      <c r="P44" s="628"/>
      <c r="Q44" s="628"/>
      <c r="R44" s="628"/>
      <c r="S44" s="2240"/>
      <c r="T44" s="2240"/>
      <c r="U44" s="2240"/>
      <c r="V44" s="2240"/>
    </row>
    <row r="45" spans="1:30" s="1615" customFormat="1">
      <c r="A45" s="1461"/>
      <c r="B45" s="1461"/>
      <c r="C45" s="628"/>
      <c r="D45" s="628"/>
      <c r="E45" s="628"/>
      <c r="F45" s="628"/>
      <c r="G45" s="628"/>
      <c r="H45" s="628"/>
      <c r="I45" s="628"/>
      <c r="J45" s="2238"/>
      <c r="K45" s="2239"/>
      <c r="L45" s="2239"/>
      <c r="M45" s="628"/>
      <c r="N45" s="628"/>
      <c r="O45" s="628"/>
      <c r="P45" s="628"/>
      <c r="Q45" s="628"/>
      <c r="R45" s="628"/>
      <c r="S45" s="2240"/>
      <c r="T45" s="2240"/>
      <c r="U45" s="2240"/>
      <c r="V45" s="2240"/>
    </row>
    <row r="46" spans="1:30" s="1615" customFormat="1">
      <c r="A46" s="1461"/>
      <c r="B46" s="1461"/>
      <c r="C46" s="628"/>
      <c r="D46" s="628"/>
      <c r="E46" s="628"/>
      <c r="F46" s="628"/>
      <c r="G46" s="628"/>
      <c r="H46" s="628"/>
      <c r="I46" s="628"/>
      <c r="J46" s="2238"/>
      <c r="K46" s="2239"/>
      <c r="L46" s="2239"/>
      <c r="M46" s="628"/>
      <c r="N46" s="628"/>
      <c r="O46" s="628"/>
      <c r="P46" s="628"/>
      <c r="Q46" s="628"/>
      <c r="R46" s="628"/>
      <c r="S46" s="2240"/>
      <c r="T46" s="2240"/>
      <c r="U46" s="2240"/>
      <c r="V46" s="2240"/>
    </row>
    <row r="47" spans="1:30" s="1615" customFormat="1">
      <c r="A47" s="1461"/>
      <c r="B47" s="1461"/>
      <c r="C47" s="628"/>
      <c r="D47" s="628"/>
      <c r="E47" s="628"/>
      <c r="F47" s="628"/>
      <c r="G47" s="628"/>
      <c r="H47" s="628"/>
      <c r="I47" s="628"/>
      <c r="J47" s="2238"/>
      <c r="K47" s="2239"/>
      <c r="L47" s="2239"/>
      <c r="M47" s="628"/>
      <c r="N47" s="628"/>
      <c r="O47" s="628"/>
      <c r="P47" s="628"/>
      <c r="Q47" s="628"/>
      <c r="R47" s="628"/>
      <c r="S47" s="2240"/>
      <c r="T47" s="2240"/>
      <c r="U47" s="2240"/>
      <c r="V47" s="2240"/>
    </row>
    <row r="48" spans="1:30" s="1615" customFormat="1">
      <c r="A48" s="1461"/>
      <c r="B48" s="1461"/>
      <c r="C48" s="628"/>
      <c r="D48" s="628"/>
      <c r="E48" s="628"/>
      <c r="F48" s="628"/>
      <c r="G48" s="628"/>
      <c r="H48" s="628"/>
      <c r="I48" s="628"/>
      <c r="J48" s="2238"/>
      <c r="K48" s="2239"/>
      <c r="L48" s="2239"/>
      <c r="M48" s="628"/>
      <c r="N48" s="628"/>
      <c r="O48" s="628"/>
      <c r="P48" s="628"/>
      <c r="Q48" s="628"/>
      <c r="R48" s="628"/>
      <c r="S48" s="2240"/>
      <c r="T48" s="2240"/>
      <c r="U48" s="2240"/>
      <c r="V48" s="2240"/>
    </row>
    <row r="49" spans="1:22" s="1615" customFormat="1">
      <c r="A49" s="1461"/>
      <c r="B49" s="1461"/>
      <c r="C49" s="628"/>
      <c r="D49" s="628"/>
      <c r="E49" s="628"/>
      <c r="F49" s="628"/>
      <c r="G49" s="628"/>
      <c r="H49" s="628"/>
      <c r="I49" s="628"/>
      <c r="J49" s="2238"/>
      <c r="K49" s="2239"/>
      <c r="L49" s="2239"/>
      <c r="M49" s="628"/>
      <c r="N49" s="628"/>
      <c r="O49" s="628"/>
      <c r="P49" s="628"/>
      <c r="Q49" s="628"/>
      <c r="R49" s="628"/>
      <c r="S49" s="2240"/>
      <c r="T49" s="2240"/>
      <c r="U49" s="2240"/>
      <c r="V49" s="2240"/>
    </row>
    <row r="50" spans="1:22" s="1615" customFormat="1">
      <c r="A50" s="1461"/>
      <c r="B50" s="1461"/>
      <c r="C50" s="628"/>
      <c r="D50" s="628"/>
      <c r="E50" s="628"/>
      <c r="F50" s="628"/>
      <c r="G50" s="628"/>
      <c r="H50" s="628"/>
      <c r="I50" s="628"/>
      <c r="J50" s="2238"/>
      <c r="K50" s="2239"/>
      <c r="L50" s="2239"/>
      <c r="M50" s="628"/>
      <c r="N50" s="628"/>
      <c r="O50" s="628"/>
      <c r="P50" s="628"/>
      <c r="Q50" s="628"/>
      <c r="R50" s="628"/>
      <c r="S50" s="2240"/>
      <c r="T50" s="2240"/>
      <c r="U50" s="2240"/>
      <c r="V50" s="2240"/>
    </row>
    <row r="51" spans="1:22" s="1615" customFormat="1">
      <c r="A51" s="1461"/>
      <c r="B51" s="1461"/>
      <c r="C51" s="628"/>
      <c r="D51" s="628"/>
      <c r="E51" s="628"/>
      <c r="F51" s="628"/>
      <c r="G51" s="628"/>
      <c r="H51" s="628"/>
      <c r="I51" s="628"/>
      <c r="J51" s="2238"/>
      <c r="K51" s="2239"/>
      <c r="L51" s="2239"/>
      <c r="M51" s="628"/>
      <c r="N51" s="628"/>
      <c r="O51" s="628"/>
      <c r="P51" s="628"/>
      <c r="Q51" s="628"/>
      <c r="R51" s="628"/>
    </row>
    <row r="52" spans="1:22" s="1615" customFormat="1">
      <c r="A52" s="1461"/>
      <c r="B52" s="1461"/>
      <c r="C52" s="1461"/>
      <c r="D52" s="1461"/>
      <c r="E52" s="1461"/>
      <c r="F52" s="628"/>
      <c r="G52" s="1461"/>
      <c r="H52" s="1461"/>
      <c r="I52" s="1461"/>
      <c r="J52" s="2241"/>
      <c r="K52" s="2239"/>
      <c r="L52" s="2239"/>
      <c r="M52" s="2239"/>
      <c r="N52" s="1461"/>
      <c r="O52" s="1461"/>
      <c r="P52" s="1461"/>
      <c r="Q52" s="1461"/>
      <c r="R52" s="1461"/>
    </row>
    <row r="53" spans="1:22" s="1615" customFormat="1">
      <c r="A53" s="1461"/>
      <c r="B53" s="1461"/>
      <c r="C53" s="1461"/>
      <c r="D53" s="1461"/>
      <c r="E53" s="1461"/>
      <c r="F53" s="628"/>
      <c r="G53" s="1461"/>
      <c r="H53" s="1461"/>
      <c r="I53" s="1461"/>
      <c r="J53" s="2241"/>
      <c r="K53" s="2239"/>
      <c r="L53" s="2239"/>
      <c r="M53" s="2239"/>
      <c r="N53" s="1461"/>
      <c r="O53" s="1461"/>
      <c r="P53" s="1461"/>
      <c r="Q53" s="1461"/>
      <c r="R53" s="1461"/>
    </row>
    <row r="54" spans="1:22" s="1615" customFormat="1">
      <c r="A54" s="1461"/>
      <c r="B54" s="1461"/>
      <c r="C54" s="1461"/>
      <c r="D54" s="1461"/>
      <c r="E54" s="1461"/>
      <c r="F54" s="628"/>
      <c r="G54" s="1461"/>
      <c r="H54" s="1461"/>
      <c r="I54" s="1461"/>
      <c r="J54" s="2241"/>
      <c r="K54" s="2239"/>
      <c r="L54" s="2239"/>
      <c r="M54" s="2239"/>
      <c r="N54" s="1461"/>
      <c r="O54" s="1461"/>
      <c r="P54" s="1461"/>
      <c r="Q54" s="1461"/>
      <c r="R54" s="1461"/>
    </row>
    <row r="55" spans="1:22" s="1615" customFormat="1">
      <c r="A55" s="1461"/>
      <c r="B55" s="1461"/>
      <c r="C55" s="1461"/>
      <c r="D55" s="1461"/>
      <c r="E55" s="1461"/>
      <c r="F55" s="628"/>
      <c r="G55" s="1461"/>
      <c r="H55" s="1461"/>
      <c r="I55" s="1461"/>
      <c r="J55" s="2241"/>
      <c r="K55" s="2239"/>
      <c r="L55" s="2239"/>
      <c r="M55" s="2239"/>
      <c r="N55" s="1461"/>
      <c r="O55" s="1461"/>
      <c r="P55" s="1461"/>
      <c r="Q55" s="1461"/>
      <c r="R55" s="1461"/>
    </row>
    <row r="56" spans="1:22" s="1615" customFormat="1">
      <c r="A56" s="1461"/>
      <c r="B56" s="1461"/>
      <c r="C56" s="1461"/>
      <c r="D56" s="1461"/>
      <c r="E56" s="1461"/>
      <c r="F56" s="628"/>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1056</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1057</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1058</v>
      </c>
      <c r="B2" s="8" t="s">
        <v>1059</v>
      </c>
      <c r="C2" s="8" t="s">
        <v>1060</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1061</v>
      </c>
      <c r="AZ2" s="987" t="s">
        <v>1062</v>
      </c>
      <c r="BA2" s="8" t="s">
        <v>1063</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86196.960000000021</v>
      </c>
      <c r="C3" s="1468" t="s">
        <v>1064</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1065</v>
      </c>
      <c r="B5" s="1258"/>
      <c r="C5" s="1258"/>
      <c r="D5" s="1259"/>
      <c r="E5" s="13" t="s">
        <v>0</v>
      </c>
      <c r="F5" s="13">
        <f>SUM(F13:F587)</f>
        <v>0</v>
      </c>
      <c r="G5" s="13">
        <f>SUM(G13:G587)</f>
        <v>86196.960000000021</v>
      </c>
      <c r="H5" s="13">
        <f t="shared" ref="H5:AT5" si="0">SUM(H13:H656)</f>
        <v>86196.960000000021</v>
      </c>
      <c r="I5" s="13">
        <f t="shared" si="0"/>
        <v>85571.080000000016</v>
      </c>
      <c r="J5" s="13">
        <f t="shared" si="0"/>
        <v>0</v>
      </c>
      <c r="K5" s="13">
        <f t="shared" si="0"/>
        <v>625.88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1065</v>
      </c>
      <c r="AW5" s="1258"/>
      <c r="AX5" s="1258"/>
      <c r="AY5" s="14" t="s">
        <v>2</v>
      </c>
      <c r="AZ5" s="15">
        <f t="shared" ref="AZ5:BT5" si="1">SUM(AZ13:AZ656)</f>
        <v>86196.960000000021</v>
      </c>
      <c r="BA5" s="15">
        <f t="shared" si="1"/>
        <v>86196.960000000021</v>
      </c>
      <c r="BB5" s="15">
        <f t="shared" si="1"/>
        <v>85571.080000000016</v>
      </c>
      <c r="BC5" s="15">
        <f t="shared" si="1"/>
        <v>625.88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1066</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1066</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1067</v>
      </c>
      <c r="B7" s="1460" t="s">
        <v>1068</v>
      </c>
      <c r="C7" s="1460" t="s">
        <v>1069</v>
      </c>
      <c r="D7" s="1460" t="s">
        <v>1070</v>
      </c>
      <c r="E7" s="1460" t="s">
        <v>1071</v>
      </c>
      <c r="F7" s="1460" t="s">
        <v>1072</v>
      </c>
      <c r="G7" s="1477" t="s">
        <v>1073</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1074</v>
      </c>
      <c r="AV7" s="20" t="s">
        <v>1075</v>
      </c>
      <c r="AW7" s="1465" t="s">
        <v>1076</v>
      </c>
      <c r="AX7" s="20" t="s">
        <v>1069</v>
      </c>
      <c r="AY7" s="1258" t="s">
        <v>1077</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1078</v>
      </c>
      <c r="H8" s="1483" t="s">
        <v>1079</v>
      </c>
      <c r="I8" s="1484"/>
      <c r="J8" s="1268"/>
      <c r="K8" s="1268"/>
      <c r="L8" s="1268"/>
      <c r="M8" s="1268"/>
      <c r="N8" s="1268"/>
      <c r="O8" s="1268"/>
      <c r="P8" s="1268"/>
      <c r="Q8" s="1268"/>
      <c r="R8" s="1268"/>
      <c r="S8" s="1268"/>
      <c r="T8" s="1268"/>
      <c r="U8" s="1268"/>
      <c r="V8" s="1485"/>
      <c r="W8" s="1268"/>
      <c r="X8" s="1268"/>
      <c r="Y8" s="1268"/>
      <c r="Z8" s="1268"/>
      <c r="AA8" s="1485"/>
      <c r="AB8" s="1486"/>
      <c r="AC8" s="761" t="s">
        <v>1080</v>
      </c>
      <c r="AD8" s="1487"/>
      <c r="AE8" s="1479"/>
      <c r="AF8" s="1268"/>
      <c r="AG8" s="1268"/>
      <c r="AH8" s="1268"/>
      <c r="AI8" s="1268"/>
      <c r="AJ8" s="1268"/>
      <c r="AK8" s="1268"/>
      <c r="AL8" s="1268"/>
      <c r="AM8" s="1268"/>
      <c r="AN8" s="1268"/>
      <c r="AO8" s="1268"/>
      <c r="AP8" s="1268"/>
      <c r="AQ8" s="1268"/>
      <c r="AR8" s="1268"/>
      <c r="AS8" s="1268"/>
      <c r="AT8" s="1007" t="s">
        <v>1081</v>
      </c>
      <c r="AU8" s="1481" t="s">
        <v>1082</v>
      </c>
      <c r="AV8" s="1007"/>
      <c r="AW8" s="1466"/>
      <c r="AX8" s="1007"/>
      <c r="AY8" s="1465" t="s">
        <v>1083</v>
      </c>
      <c r="AZ8" s="1267" t="s">
        <v>1084</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1085</v>
      </c>
      <c r="I9" s="1490" t="s">
        <v>3386</v>
      </c>
      <c r="J9" s="761"/>
      <c r="K9" s="1490" t="s">
        <v>3386</v>
      </c>
      <c r="L9" s="761"/>
      <c r="M9" s="1490" t="s">
        <v>4144</v>
      </c>
      <c r="N9" s="761"/>
      <c r="O9" s="1490"/>
      <c r="P9" s="761"/>
      <c r="Q9" s="1490"/>
      <c r="R9" s="761"/>
      <c r="S9" s="1490"/>
      <c r="T9" s="761"/>
      <c r="U9" s="1490"/>
      <c r="V9" s="761"/>
      <c r="W9" s="1490"/>
      <c r="X9" s="1491"/>
      <c r="Y9" s="1490"/>
      <c r="Z9" s="761"/>
      <c r="AA9" s="1490"/>
      <c r="AB9" s="761"/>
      <c r="AC9" s="1482" t="s">
        <v>1085</v>
      </c>
      <c r="AD9" s="12" t="s">
        <v>1086</v>
      </c>
      <c r="AE9" s="1013"/>
      <c r="AF9" s="12" t="s">
        <v>1087</v>
      </c>
      <c r="AG9" s="1013"/>
      <c r="AH9" s="12" t="s">
        <v>1086</v>
      </c>
      <c r="AI9" s="1013"/>
      <c r="AJ9" s="12" t="s">
        <v>1087</v>
      </c>
      <c r="AK9" s="1013"/>
      <c r="AL9" s="12" t="s">
        <v>1086</v>
      </c>
      <c r="AM9" s="1013"/>
      <c r="AN9" s="12" t="s">
        <v>1087</v>
      </c>
      <c r="AO9" s="1013"/>
      <c r="AP9" s="12" t="s">
        <v>1086</v>
      </c>
      <c r="AQ9" s="1013"/>
      <c r="AR9" s="12" t="s">
        <v>1087</v>
      </c>
      <c r="AS9" s="1492"/>
      <c r="AT9" s="1481"/>
      <c r="AU9" s="1481" t="s">
        <v>1088</v>
      </c>
      <c r="AV9" s="1007"/>
      <c r="AW9" s="1466"/>
      <c r="AX9" s="1007"/>
      <c r="AY9" s="25"/>
      <c r="AZ9" s="25" t="s">
        <v>1078</v>
      </c>
      <c r="BA9" s="1493" t="s">
        <v>1089</v>
      </c>
      <c r="BB9" s="1494"/>
      <c r="BC9" s="1025"/>
      <c r="BD9" s="1025"/>
      <c r="BE9" s="1025"/>
      <c r="BF9" s="1025"/>
      <c r="BG9" s="1025"/>
      <c r="BH9" s="1025"/>
      <c r="BI9" s="1025"/>
      <c r="BJ9" s="1025"/>
      <c r="BK9" s="1495"/>
      <c r="BL9" s="12" t="s">
        <v>1090</v>
      </c>
      <c r="BM9" s="1268"/>
      <c r="BN9" s="1484"/>
      <c r="BO9" s="1268"/>
      <c r="BP9" s="1268"/>
      <c r="BQ9" s="1268"/>
      <c r="BR9" s="1268"/>
      <c r="BS9" s="1268"/>
      <c r="BT9" s="23"/>
    </row>
    <row r="10" spans="1:72" s="1488" customFormat="1" ht="12.75">
      <c r="A10" s="1481"/>
      <c r="B10" s="1481"/>
      <c r="C10" s="1481"/>
      <c r="D10" s="1481"/>
      <c r="E10" s="1481"/>
      <c r="F10" s="1481"/>
      <c r="G10" s="1007"/>
      <c r="H10" s="25"/>
      <c r="I10" s="1490" t="s">
        <v>3387</v>
      </c>
      <c r="J10" s="761"/>
      <c r="K10" s="1496" t="s">
        <v>667</v>
      </c>
      <c r="L10" s="761"/>
      <c r="M10" s="1496" t="s">
        <v>3331</v>
      </c>
      <c r="N10" s="761"/>
      <c r="O10" s="1496"/>
      <c r="P10" s="761"/>
      <c r="Q10" s="1496"/>
      <c r="R10" s="761"/>
      <c r="S10" s="1496"/>
      <c r="T10" s="761"/>
      <c r="U10" s="1496"/>
      <c r="V10" s="761"/>
      <c r="W10" s="1496"/>
      <c r="X10" s="761"/>
      <c r="Y10" s="1496"/>
      <c r="Z10" s="761"/>
      <c r="AA10" s="1496"/>
      <c r="AB10" s="761"/>
      <c r="AC10" s="1007"/>
      <c r="AD10" s="12" t="s">
        <v>1091</v>
      </c>
      <c r="AE10" s="1497"/>
      <c r="AF10" s="12" t="s">
        <v>1091</v>
      </c>
      <c r="AG10" s="1497"/>
      <c r="AH10" s="12" t="s">
        <v>1092</v>
      </c>
      <c r="AI10" s="1497"/>
      <c r="AJ10" s="12" t="s">
        <v>1092</v>
      </c>
      <c r="AK10" s="1497"/>
      <c r="AL10" s="12" t="s">
        <v>1093</v>
      </c>
      <c r="AM10" s="1013"/>
      <c r="AN10" s="12" t="s">
        <v>1093</v>
      </c>
      <c r="AO10" s="1013"/>
      <c r="AP10" s="12" t="s">
        <v>1094</v>
      </c>
      <c r="AQ10" s="1013"/>
      <c r="AR10" s="12" t="s">
        <v>1094</v>
      </c>
      <c r="AS10" s="1013"/>
      <c r="AT10" s="1481"/>
      <c r="AU10" s="1481"/>
      <c r="AV10" s="1007"/>
      <c r="AW10" s="1466"/>
      <c r="AX10" s="1007"/>
      <c r="AY10" s="25"/>
      <c r="AZ10" s="25"/>
      <c r="BA10" s="1498" t="s">
        <v>1085</v>
      </c>
      <c r="BB10" s="1499" t="str">
        <f>I9</f>
        <v>地上</v>
      </c>
      <c r="BC10" s="26" t="str">
        <f>K9</f>
        <v>地上</v>
      </c>
      <c r="BD10" s="26" t="str">
        <f>M9</f>
        <v>地下</v>
      </c>
      <c r="BE10" s="26">
        <f>O9</f>
        <v>0</v>
      </c>
      <c r="BF10" s="26">
        <f>Q9</f>
        <v>0</v>
      </c>
      <c r="BG10" s="26">
        <f>S9</f>
        <v>0</v>
      </c>
      <c r="BH10" s="26">
        <f>U9</f>
        <v>0</v>
      </c>
      <c r="BI10" s="26">
        <f>W9</f>
        <v>0</v>
      </c>
      <c r="BJ10" s="26">
        <f>Y9</f>
        <v>0</v>
      </c>
      <c r="BK10" s="26">
        <f>AA9</f>
        <v>0</v>
      </c>
      <c r="BL10" s="22" t="s">
        <v>1085</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3388</v>
      </c>
      <c r="J11" s="1502"/>
      <c r="K11" s="1501" t="s">
        <v>4148</v>
      </c>
      <c r="L11" s="1502"/>
      <c r="M11" s="1501" t="s">
        <v>3331</v>
      </c>
      <c r="N11" s="1502"/>
      <c r="O11" s="1501"/>
      <c r="P11" s="1502"/>
      <c r="Q11" s="1501"/>
      <c r="R11" s="1502"/>
      <c r="S11" s="1501"/>
      <c r="T11" s="1502"/>
      <c r="U11" s="1501"/>
      <c r="V11" s="1502"/>
      <c r="W11" s="1501"/>
      <c r="X11" s="1502"/>
      <c r="Y11" s="1501"/>
      <c r="Z11" s="1502"/>
      <c r="AA11" s="1501"/>
      <c r="AB11" s="1502"/>
      <c r="AC11" s="1007"/>
      <c r="AD11" s="1503" t="s">
        <v>1095</v>
      </c>
      <c r="AE11" s="1269"/>
      <c r="AF11" s="1503" t="s">
        <v>1095</v>
      </c>
      <c r="AG11" s="1269"/>
      <c r="AH11" s="1503" t="s">
        <v>1096</v>
      </c>
      <c r="AI11" s="1504"/>
      <c r="AJ11" s="1503" t="s">
        <v>1096</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商业</v>
      </c>
      <c r="BD11" s="1486" t="str">
        <f>M10</f>
        <v>车库</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257" t="s">
        <v>1098</v>
      </c>
      <c r="W12" s="8" t="s">
        <v>1097</v>
      </c>
      <c r="X12" s="8" t="s">
        <v>1098</v>
      </c>
      <c r="Y12" s="8" t="s">
        <v>1097</v>
      </c>
      <c r="Z12" s="8" t="s">
        <v>1098</v>
      </c>
      <c r="AA12" s="8" t="s">
        <v>1097</v>
      </c>
      <c r="AB12" s="8" t="s">
        <v>1098</v>
      </c>
      <c r="AC12" s="1508"/>
      <c r="AD12" s="1259"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506" t="s">
        <v>1098</v>
      </c>
      <c r="AT12" s="1509"/>
      <c r="AU12" s="1506"/>
      <c r="AV12" s="28"/>
      <c r="AW12" s="1465"/>
      <c r="AX12" s="28"/>
      <c r="AY12" s="1510"/>
      <c r="AZ12" s="25"/>
      <c r="BA12" s="1498"/>
      <c r="BB12" s="21" t="str">
        <f>I11</f>
        <v>平层住宅</v>
      </c>
      <c r="BC12" s="1511" t="str">
        <f>K11</f>
        <v>商业街</v>
      </c>
      <c r="BD12" s="1511" t="str">
        <f>M11</f>
        <v>车库</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3193"/>
      <c r="D13" s="1512" t="s">
        <v>3385</v>
      </c>
      <c r="E13" s="13">
        <f>IF($C$3="是",ROUND($A$3*G13/$B$3,2),ROUND($A$3*(G13-AT13)/$B$3,2))</f>
        <v>0</v>
      </c>
      <c r="F13" s="29"/>
      <c r="G13" s="30">
        <f>H13+AC13+AT13</f>
        <v>86196.960000000021</v>
      </c>
      <c r="H13" s="17">
        <f>SUMIF(I$12:AB$12,"总值",I13:AB13)</f>
        <v>86196.960000000021</v>
      </c>
      <c r="I13" s="1513">
        <f>统计!E19-统计!C46</f>
        <v>85571.080000000016</v>
      </c>
      <c r="J13" s="1513"/>
      <c r="K13" s="1513">
        <f>统计!E20</f>
        <v>625.88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86196.960000000021</v>
      </c>
      <c r="BA13" s="13">
        <f>SUM(BB13:BK13)</f>
        <v>86196.960000000021</v>
      </c>
      <c r="BB13" s="13">
        <f>IF($D13="是",I13-J13,0)</f>
        <v>85571.080000000016</v>
      </c>
      <c r="BC13" s="13">
        <f>IF($D13="是",K13-L13,0)</f>
        <v>625.88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3194"/>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10">
        <f>B3+统计!D18</f>
        <v>89105.980000000025</v>
      </c>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89105.980000000025</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J47"/>
  <sheetViews>
    <sheetView topLeftCell="A16" workbookViewId="0">
      <selection activeCell="C46" sqref="C46"/>
    </sheetView>
  </sheetViews>
  <sheetFormatPr defaultRowHeight="13.5"/>
  <cols>
    <col min="1" max="1" width="13" style="2808" customWidth="1"/>
    <col min="2" max="2" width="16" style="2808" customWidth="1"/>
    <col min="3" max="3" width="20.25" style="2808" customWidth="1"/>
    <col min="4" max="4" width="25.5" style="2808" customWidth="1"/>
    <col min="5" max="5" width="19.75" style="2808" customWidth="1"/>
    <col min="6" max="16384" width="9" style="2808"/>
  </cols>
  <sheetData>
    <row r="3" spans="1:7">
      <c r="C3" s="1420" t="s">
        <v>3425</v>
      </c>
      <c r="D3" s="1420" t="s">
        <v>3427</v>
      </c>
      <c r="E3" s="1420" t="s">
        <v>3429</v>
      </c>
    </row>
    <row r="4" spans="1:7">
      <c r="B4" s="1420" t="s">
        <v>3428</v>
      </c>
      <c r="C4" s="2808">
        <f>38050000+152160000</f>
        <v>190210000</v>
      </c>
      <c r="D4" s="2808">
        <v>107880000</v>
      </c>
    </row>
    <row r="5" spans="1:7">
      <c r="B5" s="1420" t="s">
        <v>3430</v>
      </c>
      <c r="D5" s="2808">
        <v>4315200</v>
      </c>
      <c r="G5" s="3144">
        <f>D5/D4</f>
        <v>0.04</v>
      </c>
    </row>
    <row r="6" spans="1:7">
      <c r="B6" s="1420" t="s">
        <v>3431</v>
      </c>
      <c r="D6" s="2808">
        <v>53940</v>
      </c>
      <c r="G6" s="3144">
        <f>D6/D4</f>
        <v>5.0000000000000001E-4</v>
      </c>
    </row>
    <row r="7" spans="1:7">
      <c r="B7" s="1420" t="s">
        <v>3426</v>
      </c>
      <c r="C7" s="2808">
        <f>C4+C6</f>
        <v>190210000</v>
      </c>
      <c r="D7" s="2808">
        <v>107880000</v>
      </c>
      <c r="E7" s="2808">
        <v>96080000</v>
      </c>
    </row>
    <row r="9" spans="1:7">
      <c r="B9" s="1420" t="s">
        <v>3432</v>
      </c>
      <c r="C9" s="2808">
        <v>103091.11</v>
      </c>
      <c r="D9" s="2808">
        <v>59935.17</v>
      </c>
      <c r="E9" s="2808">
        <v>80066.38</v>
      </c>
    </row>
    <row r="10" spans="1:7">
      <c r="B10" s="1420" t="s">
        <v>3433</v>
      </c>
      <c r="C10" s="1420" t="s">
        <v>3434</v>
      </c>
      <c r="D10" s="1420" t="s">
        <v>3436</v>
      </c>
      <c r="E10" s="1420" t="s">
        <v>3438</v>
      </c>
    </row>
    <row r="11" spans="1:7">
      <c r="B11" s="1420" t="s">
        <v>3435</v>
      </c>
      <c r="C11" s="3145">
        <v>69486</v>
      </c>
      <c r="D11" s="3146" t="s">
        <v>3437</v>
      </c>
      <c r="E11" s="3145">
        <v>58361</v>
      </c>
    </row>
    <row r="12" spans="1:7">
      <c r="A12" s="1420" t="s">
        <v>3796</v>
      </c>
      <c r="B12" s="1420" t="s">
        <v>3789</v>
      </c>
      <c r="C12" s="2808">
        <f>ROUND(C9*C13,2)</f>
        <v>195873.11</v>
      </c>
      <c r="D12" s="2808">
        <f>ROUND(D9*D13,2)</f>
        <v>119870.34</v>
      </c>
      <c r="E12" s="2808">
        <f>ROUND(E9*E13-0.01,2)</f>
        <v>208172.58</v>
      </c>
    </row>
    <row r="13" spans="1:7">
      <c r="B13" s="1420" t="s">
        <v>3792</v>
      </c>
      <c r="C13" s="2808">
        <v>1.9</v>
      </c>
      <c r="D13" s="2808">
        <v>2</v>
      </c>
      <c r="E13" s="2808">
        <v>2.6</v>
      </c>
    </row>
    <row r="14" spans="1:7" ht="40.5">
      <c r="B14" s="1420" t="s">
        <v>3790</v>
      </c>
      <c r="C14" s="3163" t="s">
        <v>3795</v>
      </c>
      <c r="D14" s="3163" t="s">
        <v>3793</v>
      </c>
      <c r="E14" s="3163" t="s">
        <v>3794</v>
      </c>
    </row>
    <row r="15" spans="1:7">
      <c r="B15" s="1420"/>
      <c r="C15" s="3163"/>
      <c r="D15" s="3163"/>
      <c r="E15" s="3163"/>
    </row>
    <row r="16" spans="1:7">
      <c r="A16" s="1420"/>
      <c r="B16" s="1420" t="s">
        <v>3797</v>
      </c>
    </row>
    <row r="17" spans="2:10" ht="27">
      <c r="B17" s="1420" t="s">
        <v>3791</v>
      </c>
      <c r="C17" s="3163" t="s">
        <v>3808</v>
      </c>
      <c r="D17" s="3163" t="s">
        <v>3810</v>
      </c>
      <c r="E17" s="1420" t="s">
        <v>3800</v>
      </c>
    </row>
    <row r="18" spans="2:10">
      <c r="B18" s="1420" t="s">
        <v>3801</v>
      </c>
      <c r="C18" s="1420">
        <v>2273.06</v>
      </c>
      <c r="D18" s="2808">
        <v>2909.02</v>
      </c>
      <c r="E18" s="2808">
        <f>SUM(C18:D18)</f>
        <v>5182.08</v>
      </c>
    </row>
    <row r="19" spans="2:10">
      <c r="B19" s="1420" t="s">
        <v>3803</v>
      </c>
      <c r="C19" s="2808">
        <v>50357.77</v>
      </c>
      <c r="D19" s="2808">
        <v>61842.05</v>
      </c>
      <c r="E19" s="3177">
        <f t="shared" ref="E19:E25" si="0">SUM(C19:D19)</f>
        <v>112199.82</v>
      </c>
    </row>
    <row r="20" spans="2:10">
      <c r="B20" s="1420" t="s">
        <v>3804</v>
      </c>
      <c r="C20" s="2808">
        <v>0</v>
      </c>
      <c r="D20" s="2808">
        <v>625.88</v>
      </c>
      <c r="E20" s="2808">
        <f t="shared" si="0"/>
        <v>625.88</v>
      </c>
    </row>
    <row r="21" spans="2:10">
      <c r="B21" s="1420" t="s">
        <v>3798</v>
      </c>
      <c r="C21" s="2808">
        <f>344.1+54</f>
        <v>398.1</v>
      </c>
      <c r="D21" s="2808">
        <f>864.68+89.49</f>
        <v>954.17</v>
      </c>
      <c r="E21" s="2808">
        <f t="shared" si="0"/>
        <v>1352.27</v>
      </c>
      <c r="J21" s="1420"/>
    </row>
    <row r="22" spans="2:10">
      <c r="B22" s="1420" t="s">
        <v>3805</v>
      </c>
      <c r="C22" s="2808">
        <v>0</v>
      </c>
      <c r="D22" s="3192">
        <v>345.74</v>
      </c>
      <c r="E22" s="2808">
        <f t="shared" si="0"/>
        <v>345.74</v>
      </c>
      <c r="J22" s="1420"/>
    </row>
    <row r="23" spans="2:10">
      <c r="B23" s="1420" t="s">
        <v>3806</v>
      </c>
      <c r="C23" s="2808">
        <v>0</v>
      </c>
      <c r="D23" s="2808">
        <v>263.94</v>
      </c>
      <c r="E23" s="2808">
        <f t="shared" si="0"/>
        <v>263.94</v>
      </c>
      <c r="J23" s="1420"/>
    </row>
    <row r="24" spans="2:10">
      <c r="B24" s="1420" t="s">
        <v>3799</v>
      </c>
      <c r="C24" s="2808">
        <v>23571.73</v>
      </c>
      <c r="D24" s="2808">
        <v>20682.419999999998</v>
      </c>
      <c r="E24" s="2808">
        <f t="shared" si="0"/>
        <v>44254.149999999994</v>
      </c>
    </row>
    <row r="25" spans="2:10">
      <c r="B25" s="1420" t="s">
        <v>3802</v>
      </c>
      <c r="C25" s="2808">
        <f>SUM(C18:C24)</f>
        <v>76600.659999999989</v>
      </c>
      <c r="D25" s="2808">
        <f>SUM(D18:D24)</f>
        <v>87623.22</v>
      </c>
      <c r="E25" s="2808">
        <f t="shared" si="0"/>
        <v>164223.88</v>
      </c>
    </row>
    <row r="26" spans="2:10" s="3177" customFormat="1">
      <c r="B26" s="3177" t="s">
        <v>3813</v>
      </c>
      <c r="C26" s="3177">
        <f>C25+D25</f>
        <v>164223.88</v>
      </c>
    </row>
    <row r="27" spans="2:10">
      <c r="B27" s="1420" t="s">
        <v>3814</v>
      </c>
      <c r="C27" s="2808">
        <f>C26-C24-D24</f>
        <v>119969.73</v>
      </c>
    </row>
    <row r="28" spans="2:10">
      <c r="B28" s="1420" t="s">
        <v>3819</v>
      </c>
      <c r="C28" s="2808">
        <v>52288.54</v>
      </c>
      <c r="D28" s="2808">
        <v>66940.800000000003</v>
      </c>
    </row>
    <row r="29" spans="2:10">
      <c r="B29" s="1420" t="s">
        <v>4143</v>
      </c>
      <c r="C29" s="2808">
        <f>C28+D28</f>
        <v>119229.34</v>
      </c>
    </row>
    <row r="30" spans="2:10">
      <c r="B30" s="1420"/>
    </row>
    <row r="32" spans="2:10" ht="27">
      <c r="B32" s="1420" t="s">
        <v>3809</v>
      </c>
      <c r="C32" s="3163" t="s">
        <v>3808</v>
      </c>
      <c r="D32" s="3163" t="s">
        <v>3810</v>
      </c>
    </row>
    <row r="33" spans="2:5">
      <c r="B33" s="1420" t="s">
        <v>3811</v>
      </c>
      <c r="C33" s="2808">
        <v>37135.449999999997</v>
      </c>
    </row>
    <row r="34" spans="2:5" ht="27">
      <c r="B34" s="3163" t="s">
        <v>3812</v>
      </c>
      <c r="C34" s="2808">
        <v>39465.21</v>
      </c>
    </row>
    <row r="35" spans="2:5">
      <c r="B35" s="1420" t="s">
        <v>3802</v>
      </c>
      <c r="C35" s="2808">
        <f>SUM(C33:C34)</f>
        <v>76600.66</v>
      </c>
      <c r="D35" s="2808">
        <v>87623.23</v>
      </c>
    </row>
    <row r="36" spans="2:5">
      <c r="B36" s="1420"/>
      <c r="C36" s="2808">
        <f>C35+D35</f>
        <v>164223.89000000001</v>
      </c>
    </row>
    <row r="38" spans="2:5" ht="27">
      <c r="B38" s="1420" t="s">
        <v>3815</v>
      </c>
      <c r="C38" s="3163" t="s">
        <v>3808</v>
      </c>
      <c r="D38" s="3163" t="s">
        <v>3817</v>
      </c>
    </row>
    <row r="39" spans="2:5">
      <c r="B39" s="1420" t="s">
        <v>3807</v>
      </c>
      <c r="C39" s="1420">
        <v>7073.22</v>
      </c>
      <c r="D39" s="2808">
        <v>60</v>
      </c>
    </row>
    <row r="40" spans="2:5">
      <c r="B40" s="1420" t="s">
        <v>3816</v>
      </c>
      <c r="C40" s="2808">
        <v>25878.32</v>
      </c>
      <c r="D40" s="2808">
        <v>238</v>
      </c>
    </row>
    <row r="41" spans="2:5">
      <c r="B41" s="1420" t="s">
        <v>3818</v>
      </c>
      <c r="C41" s="2808">
        <v>6408.18</v>
      </c>
      <c r="D41" s="2808">
        <v>54</v>
      </c>
    </row>
    <row r="42" spans="2:5">
      <c r="B42" s="1420" t="s">
        <v>3802</v>
      </c>
      <c r="C42" s="2808">
        <f>SUM(C39:C41)</f>
        <v>39359.72</v>
      </c>
      <c r="D42" s="2808">
        <f>SUM(D39:D41)</f>
        <v>352</v>
      </c>
    </row>
    <row r="44" spans="2:5">
      <c r="C44" s="1420" t="s">
        <v>4141</v>
      </c>
      <c r="D44" s="1420" t="s">
        <v>3817</v>
      </c>
      <c r="E44" s="1420" t="s">
        <v>4142</v>
      </c>
    </row>
    <row r="45" spans="2:5">
      <c r="B45" s="1420" t="s">
        <v>4140</v>
      </c>
      <c r="C45" s="2808">
        <f>'销售明细表-未售银煌A2南区'!N111</f>
        <v>12730.98000000002</v>
      </c>
      <c r="D45" s="2808">
        <v>108</v>
      </c>
      <c r="E45" s="2808">
        <f>ROUND($D$9*C45/$C$29,2)</f>
        <v>6399.71</v>
      </c>
    </row>
    <row r="46" spans="2:5">
      <c r="B46" s="1420" t="s">
        <v>4139</v>
      </c>
      <c r="C46" s="2808">
        <f>C42-C45</f>
        <v>26628.739999999983</v>
      </c>
      <c r="D46" s="2808">
        <f>D42-D45</f>
        <v>244</v>
      </c>
      <c r="E46" s="2808">
        <f>ROUND($D$9*C46/$C$29,2)</f>
        <v>13385.95</v>
      </c>
    </row>
    <row r="47" spans="2:5">
      <c r="C47" s="2808">
        <f>C45+C46</f>
        <v>39359.72</v>
      </c>
      <c r="D47" s="2808">
        <f>D45+D46</f>
        <v>352</v>
      </c>
      <c r="E47" s="2808">
        <f>E45+E46</f>
        <v>19785.66</v>
      </c>
    </row>
  </sheetData>
  <phoneticPr fontId="135"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
  <sheetViews>
    <sheetView zoomScale="85" zoomScaleNormal="85" workbookViewId="0">
      <selection activeCell="D6" sqref="D6"/>
    </sheetView>
  </sheetViews>
  <sheetFormatPr defaultColWidth="8.625" defaultRowHeight="18.95" customHeight="1"/>
  <cols>
    <col min="1" max="2" width="9.875" style="3180" customWidth="1"/>
    <col min="3" max="3" width="27.25" style="3180" customWidth="1"/>
    <col min="4" max="4" width="15.625" style="3195" customWidth="1"/>
    <col min="5" max="12" width="9.375" style="3195" customWidth="1"/>
    <col min="13" max="13" width="12.125" style="3180" customWidth="1"/>
    <col min="14" max="14" width="12.125" style="3180" hidden="1" customWidth="1"/>
    <col min="15" max="15" width="8.625" style="3180"/>
    <col min="16" max="16" width="10.5" style="3180" bestFit="1" customWidth="1"/>
    <col min="17" max="16384" width="8.625" style="3180"/>
  </cols>
  <sheetData>
    <row r="1" spans="1:14" ht="20.45" customHeight="1" thickBot="1"/>
    <row r="2" spans="1:14" ht="19.7" customHeight="1" thickBot="1">
      <c r="C2" s="3337" t="s">
        <v>4166</v>
      </c>
      <c r="D2" s="3196" t="s">
        <v>4167</v>
      </c>
      <c r="E2" s="3338" t="s">
        <v>4168</v>
      </c>
      <c r="F2" s="3338"/>
      <c r="G2" s="3338"/>
      <c r="H2" s="3338"/>
      <c r="I2" s="3338" t="s">
        <v>4169</v>
      </c>
      <c r="J2" s="3338"/>
      <c r="K2" s="3338"/>
      <c r="L2" s="3338"/>
      <c r="N2" s="3180" t="s">
        <v>4170</v>
      </c>
    </row>
    <row r="3" spans="1:14" ht="18.95" customHeight="1" thickBot="1">
      <c r="C3" s="3337"/>
      <c r="D3" s="3197"/>
      <c r="E3" s="3234" t="s">
        <v>4171</v>
      </c>
      <c r="F3" s="3234" t="s">
        <v>4172</v>
      </c>
      <c r="G3" s="3234" t="s">
        <v>4173</v>
      </c>
      <c r="H3" s="3234" t="s">
        <v>4174</v>
      </c>
      <c r="I3" s="3234" t="s">
        <v>4175</v>
      </c>
      <c r="J3" s="3234" t="s">
        <v>4176</v>
      </c>
      <c r="K3" s="3234" t="s">
        <v>4177</v>
      </c>
      <c r="L3" s="3234" t="s">
        <v>4178</v>
      </c>
      <c r="N3" s="3180" t="s">
        <v>4179</v>
      </c>
    </row>
    <row r="4" spans="1:14" ht="33.950000000000003" customHeight="1" thickBot="1">
      <c r="A4" s="3198" t="s">
        <v>4180</v>
      </c>
      <c r="B4" s="3198"/>
      <c r="C4" s="3337"/>
      <c r="D4" s="3199" t="s">
        <v>4181</v>
      </c>
      <c r="E4" s="3234" t="s">
        <v>4182</v>
      </c>
      <c r="F4" s="3234" t="s">
        <v>4183</v>
      </c>
      <c r="G4" s="3234" t="s">
        <v>4184</v>
      </c>
      <c r="H4" s="3234" t="s">
        <v>4184</v>
      </c>
      <c r="I4" s="3234" t="s">
        <v>4183</v>
      </c>
      <c r="J4" s="3234" t="s">
        <v>4185</v>
      </c>
      <c r="K4" s="3234" t="s">
        <v>4182</v>
      </c>
      <c r="L4" s="3234" t="s">
        <v>4184</v>
      </c>
      <c r="N4" s="3180" t="s">
        <v>4186</v>
      </c>
    </row>
    <row r="5" spans="1:14" ht="19.7" customHeight="1" thickBot="1">
      <c r="A5" s="3200">
        <v>14364.73</v>
      </c>
      <c r="B5" s="3200"/>
      <c r="C5" s="3235" t="s">
        <v>4187</v>
      </c>
      <c r="D5" s="3201">
        <f>'[2]3.1签约及回款明细表'!$E$30+'[2]3.1签约及回款明细表'!$E$36+'[2]3.1签约及回款明细表'!$E$42+'[2]3.1签约及回款明细表'!$E$48+'[2]3.1签约及回款明细表'!$E$54+'[2]3.1签约及回款明细表'!$E$60</f>
        <v>35890.368899999994</v>
      </c>
      <c r="E5" s="3202">
        <f>ROUND(G5/F5*10000,2)</f>
        <v>10218.99</v>
      </c>
      <c r="F5" s="3202">
        <f>ROUND('[3]销售明细表-已售银煌A2南区'!L1,2)</f>
        <v>26515.71</v>
      </c>
      <c r="G5" s="3203">
        <f>ROUND('[3]销售明细表-已售银煌A2南区'!X1/10000,2)</f>
        <v>27096.39</v>
      </c>
      <c r="H5" s="3203">
        <f>SUM('[3]IRR底稿-银煌'!AA4:CI4)</f>
        <v>25326.18</v>
      </c>
      <c r="I5" s="3203">
        <f>'[3]销售明细表-未售银煌A2南区'!L1</f>
        <v>12730.98</v>
      </c>
      <c r="J5" s="3203">
        <f>ROUND(I5*E5/10000,2)</f>
        <v>13009.78</v>
      </c>
      <c r="K5" s="3203">
        <v>8000</v>
      </c>
      <c r="L5" s="3204">
        <f>I5*K5/10000</f>
        <v>10184.784</v>
      </c>
      <c r="N5" s="3180" t="s">
        <v>4188</v>
      </c>
    </row>
    <row r="6" spans="1:14" ht="19.7" customHeight="1" thickBot="1">
      <c r="A6" s="3205">
        <v>45570.44</v>
      </c>
      <c r="B6" s="3205"/>
      <c r="C6" s="3235" t="s">
        <v>4189</v>
      </c>
      <c r="D6" s="3201">
        <v>78226.740000000005</v>
      </c>
      <c r="E6" s="3202">
        <v>0</v>
      </c>
      <c r="F6" s="3202">
        <v>0</v>
      </c>
      <c r="G6" s="3202">
        <v>0</v>
      </c>
      <c r="H6" s="3202">
        <v>0</v>
      </c>
      <c r="I6" s="3203">
        <f>D6-F6</f>
        <v>78226.740000000005</v>
      </c>
      <c r="J6" s="3203">
        <f>I6*E5/10000</f>
        <v>79939.827379260008</v>
      </c>
      <c r="K6" s="3203">
        <f>K5</f>
        <v>8000</v>
      </c>
      <c r="L6" s="3204">
        <f>I6*K6/10000</f>
        <v>62581.392</v>
      </c>
    </row>
    <row r="7" spans="1:14" ht="18.95" customHeight="1" thickBot="1">
      <c r="C7" s="3235" t="s">
        <v>4190</v>
      </c>
      <c r="D7" s="3203">
        <f>SUM(D5:D6)</f>
        <v>114117.10889999999</v>
      </c>
      <c r="E7" s="3203">
        <f t="shared" ref="E7:L7" si="0">SUM(E5:E6)</f>
        <v>10218.99</v>
      </c>
      <c r="F7" s="3203">
        <f t="shared" si="0"/>
        <v>26515.71</v>
      </c>
      <c r="G7" s="3203">
        <f t="shared" si="0"/>
        <v>27096.39</v>
      </c>
      <c r="H7" s="3203">
        <f t="shared" si="0"/>
        <v>25326.18</v>
      </c>
      <c r="I7" s="3203">
        <f t="shared" si="0"/>
        <v>90957.72</v>
      </c>
      <c r="J7" s="3203">
        <f t="shared" si="0"/>
        <v>92949.607379260007</v>
      </c>
      <c r="K7" s="3203">
        <f>K6</f>
        <v>8000</v>
      </c>
      <c r="L7" s="3204">
        <f t="shared" si="0"/>
        <v>72766.176000000007</v>
      </c>
      <c r="N7" s="3180" t="s">
        <v>4191</v>
      </c>
    </row>
    <row r="8" spans="1:14" ht="18.95" customHeight="1" thickBot="1">
      <c r="L8" s="3195">
        <f>L7+G7</f>
        <v>99862.566000000006</v>
      </c>
    </row>
    <row r="9" spans="1:14" ht="19.7" customHeight="1" thickBot="1">
      <c r="C9" s="3337" t="s">
        <v>4166</v>
      </c>
      <c r="D9" s="3196" t="s">
        <v>4180</v>
      </c>
      <c r="E9" s="3338" t="s">
        <v>4192</v>
      </c>
      <c r="F9" s="3338"/>
      <c r="G9" s="3338"/>
      <c r="H9" s="3338"/>
    </row>
    <row r="10" spans="1:14" ht="18.95" customHeight="1" thickBot="1">
      <c r="C10" s="3337"/>
      <c r="D10" s="3197"/>
      <c r="E10" s="3234" t="s">
        <v>4180</v>
      </c>
      <c r="F10" s="3234" t="s">
        <v>4193</v>
      </c>
      <c r="G10" s="3234" t="s">
        <v>4177</v>
      </c>
      <c r="H10" s="3234" t="s">
        <v>4178</v>
      </c>
      <c r="I10" s="3234" t="s">
        <v>4194</v>
      </c>
    </row>
    <row r="11" spans="1:14" ht="18.95" customHeight="1" thickBot="1">
      <c r="C11" s="3337"/>
      <c r="D11" s="3199" t="s">
        <v>4181</v>
      </c>
      <c r="E11" s="3234" t="s">
        <v>4195</v>
      </c>
      <c r="F11" s="3234" t="s">
        <v>4184</v>
      </c>
      <c r="G11" s="3234" t="s">
        <v>4182</v>
      </c>
      <c r="H11" s="3234" t="s">
        <v>4184</v>
      </c>
      <c r="I11" s="3234" t="s">
        <v>4196</v>
      </c>
    </row>
    <row r="12" spans="1:14" ht="19.7" customHeight="1" thickBot="1">
      <c r="C12" s="3235" t="s">
        <v>4189</v>
      </c>
      <c r="D12" s="3201">
        <v>45570.44</v>
      </c>
      <c r="E12" s="3203">
        <v>45570.44</v>
      </c>
      <c r="F12" s="3203">
        <f>10783/(14364.73+E12)*E12</f>
        <v>8198.6261909326367</v>
      </c>
      <c r="G12" s="3203">
        <f t="shared" ref="G12:G14" si="1">H12/E12*10000</f>
        <v>987.48223629177153</v>
      </c>
      <c r="H12" s="3203">
        <v>4500</v>
      </c>
      <c r="I12" s="3203">
        <v>0</v>
      </c>
      <c r="M12" s="3258" t="s">
        <v>4357</v>
      </c>
    </row>
    <row r="13" spans="1:14" ht="18.95" customHeight="1" thickBot="1">
      <c r="C13" s="3235" t="s">
        <v>4197</v>
      </c>
      <c r="D13" s="3201">
        <v>103091.11</v>
      </c>
      <c r="E13" s="3203">
        <f>D13</f>
        <v>103091.11</v>
      </c>
      <c r="F13" s="3203">
        <v>19021</v>
      </c>
      <c r="G13" s="3203">
        <f t="shared" si="1"/>
        <v>1843.0299179046572</v>
      </c>
      <c r="H13" s="3204">
        <v>19000</v>
      </c>
      <c r="I13" s="3203">
        <v>0</v>
      </c>
      <c r="M13" s="3258" t="s">
        <v>4356</v>
      </c>
    </row>
    <row r="14" spans="1:14" ht="18.95" customHeight="1" thickBot="1">
      <c r="C14" s="3235" t="s">
        <v>4198</v>
      </c>
      <c r="D14" s="3201">
        <v>80066.38</v>
      </c>
      <c r="E14" s="3203">
        <f>D14</f>
        <v>80066.38</v>
      </c>
      <c r="F14" s="3203">
        <v>9608</v>
      </c>
      <c r="G14" s="3203">
        <f t="shared" si="1"/>
        <v>999.17093791426566</v>
      </c>
      <c r="H14" s="3204">
        <v>8000</v>
      </c>
      <c r="I14" s="3203">
        <f>'[3]IRR底稿-银科'!C9</f>
        <v>4421.38</v>
      </c>
      <c r="M14" s="3258" t="s">
        <v>4358</v>
      </c>
    </row>
    <row r="15" spans="1:14" ht="19.7" customHeight="1" thickBot="1">
      <c r="C15" s="3235" t="s">
        <v>4190</v>
      </c>
      <c r="D15" s="3201">
        <f t="shared" ref="D15:H15" si="2">SUM(D12:D14)</f>
        <v>228727.93</v>
      </c>
      <c r="E15" s="3201">
        <f t="shared" si="2"/>
        <v>228727.93</v>
      </c>
      <c r="F15" s="3201">
        <f t="shared" si="2"/>
        <v>36827.626190932635</v>
      </c>
      <c r="G15" s="3201">
        <f t="shared" si="2"/>
        <v>3829.6830921106944</v>
      </c>
      <c r="H15" s="3206">
        <f t="shared" si="2"/>
        <v>31500</v>
      </c>
      <c r="I15" s="3201"/>
      <c r="M15" s="3258" t="s">
        <v>4359</v>
      </c>
    </row>
    <row r="16" spans="1:14" ht="18.95" customHeight="1" thickBot="1"/>
    <row r="17" spans="3:12" ht="36" customHeight="1" thickBot="1">
      <c r="C17" s="3207" t="s">
        <v>4199</v>
      </c>
      <c r="D17" s="3208" t="s">
        <v>4200</v>
      </c>
      <c r="E17" s="3208" t="s">
        <v>4201</v>
      </c>
      <c r="F17" s="3208" t="s">
        <v>4202</v>
      </c>
      <c r="G17" s="3208" t="s">
        <v>4203</v>
      </c>
    </row>
    <row r="18" spans="3:12" ht="18.95" customHeight="1" thickBot="1">
      <c r="C18" s="3235" t="str">
        <f>C5</f>
        <v>住宅-A2（南区7~12#）</v>
      </c>
      <c r="D18" s="3209">
        <f>L5*80%</f>
        <v>8147.8271999999997</v>
      </c>
      <c r="E18" s="3209">
        <f>J5*80%</f>
        <v>10407.824000000001</v>
      </c>
      <c r="F18" s="3209" t="s">
        <v>4204</v>
      </c>
      <c r="G18" s="3203">
        <f>MIN(E18,D18)</f>
        <v>8147.8271999999997</v>
      </c>
    </row>
    <row r="19" spans="3:12" ht="18.95" customHeight="1" thickBot="1">
      <c r="C19" s="3235" t="str">
        <f>C12</f>
        <v>住宅-A2（北区1~6#未开发）</v>
      </c>
      <c r="D19" s="3209">
        <f>L6*80%</f>
        <v>50065.113600000004</v>
      </c>
      <c r="E19" s="3209">
        <f>J6*80%</f>
        <v>63951.861903408011</v>
      </c>
      <c r="F19" s="3209" t="s">
        <v>4204</v>
      </c>
      <c r="G19" s="3203">
        <f>MIN(E19,D19)</f>
        <v>50065.113600000004</v>
      </c>
    </row>
    <row r="20" spans="3:12" ht="18.95" customHeight="1" thickBot="1">
      <c r="C20" s="3235" t="str">
        <f>C13</f>
        <v>住宅-A1（未开发）</v>
      </c>
      <c r="D20" s="3209">
        <f t="shared" ref="D20:D21" si="3">H13*80%</f>
        <v>15200</v>
      </c>
      <c r="E20" s="3209" t="s">
        <v>4204</v>
      </c>
      <c r="F20" s="3209">
        <f>[4]合并利润表!$G$40</f>
        <v>17400.224427789999</v>
      </c>
      <c r="G20" s="3203">
        <f>D20</f>
        <v>15200</v>
      </c>
    </row>
    <row r="21" spans="3:12" ht="18.95" customHeight="1" thickBot="1">
      <c r="C21" s="3235" t="str">
        <f>C14</f>
        <v>住宅-K（未开发）</v>
      </c>
      <c r="D21" s="3209">
        <f t="shared" si="3"/>
        <v>6400</v>
      </c>
      <c r="E21" s="3209" t="s">
        <v>4204</v>
      </c>
      <c r="F21" s="3209">
        <f>'[5]11.3利润表'!$G$8</f>
        <v>6605.43</v>
      </c>
      <c r="G21" s="3203">
        <f>D21</f>
        <v>6400</v>
      </c>
    </row>
    <row r="22" spans="3:12" ht="18.95" customHeight="1" thickBot="1">
      <c r="C22" s="3235" t="s">
        <v>4190</v>
      </c>
      <c r="D22" s="3209">
        <f>SUM(D18:D21)</f>
        <v>79812.940800000011</v>
      </c>
      <c r="E22" s="3203" t="s">
        <v>4204</v>
      </c>
      <c r="F22" s="3203" t="s">
        <v>4204</v>
      </c>
      <c r="G22" s="3203">
        <f>SUM(G18:G21)</f>
        <v>79812.940800000011</v>
      </c>
    </row>
    <row r="25" spans="3:12" ht="18.95" customHeight="1" thickBot="1">
      <c r="C25" s="3210" t="s">
        <v>4205</v>
      </c>
      <c r="D25" s="3211" t="s">
        <v>4206</v>
      </c>
      <c r="E25" s="3211" t="s">
        <v>4190</v>
      </c>
      <c r="F25" s="3211" t="s">
        <v>4207</v>
      </c>
      <c r="G25" s="3211" t="s">
        <v>4208</v>
      </c>
      <c r="H25" s="3211" t="s">
        <v>4209</v>
      </c>
      <c r="I25" s="3211" t="s">
        <v>4210</v>
      </c>
      <c r="J25" s="3211" t="s">
        <v>4211</v>
      </c>
      <c r="K25" s="3211" t="s">
        <v>4212</v>
      </c>
      <c r="L25" s="3211" t="s">
        <v>4213</v>
      </c>
    </row>
    <row r="26" spans="3:12" ht="18.95" customHeight="1" thickBot="1">
      <c r="C26" s="3336" t="s">
        <v>4187</v>
      </c>
      <c r="D26" s="3202" t="s">
        <v>4214</v>
      </c>
      <c r="E26" s="3203">
        <f t="shared" ref="E26:E35" si="4">SUM(F26:L26)</f>
        <v>35890.368899999994</v>
      </c>
      <c r="F26" s="3203">
        <f>F5</f>
        <v>26515.71</v>
      </c>
      <c r="G26" s="3203">
        <v>5370</v>
      </c>
      <c r="H26" s="3203">
        <f>D5-F26-G26</f>
        <v>4004.6588999999949</v>
      </c>
      <c r="I26" s="3203">
        <v>0</v>
      </c>
      <c r="J26" s="3203">
        <v>0</v>
      </c>
      <c r="K26" s="3203">
        <v>0</v>
      </c>
      <c r="L26" s="3203">
        <v>0</v>
      </c>
    </row>
    <row r="27" spans="3:12" ht="18.95" customHeight="1" thickBot="1">
      <c r="C27" s="3336"/>
      <c r="D27" s="3202" t="s">
        <v>4215</v>
      </c>
      <c r="E27" s="3203">
        <f t="shared" si="4"/>
        <v>35244.217199999999</v>
      </c>
      <c r="F27" s="3203">
        <f>G5</f>
        <v>27096.39</v>
      </c>
      <c r="G27" s="3203">
        <v>5370</v>
      </c>
      <c r="H27" s="3203">
        <f>G5+G18-F27-G27</f>
        <v>2777.8271999999997</v>
      </c>
      <c r="I27" s="3203">
        <v>0</v>
      </c>
      <c r="J27" s="3203">
        <v>0</v>
      </c>
      <c r="K27" s="3203">
        <v>0</v>
      </c>
      <c r="L27" s="3203">
        <v>0</v>
      </c>
    </row>
    <row r="28" spans="3:12" ht="18.95" customHeight="1" thickBot="1">
      <c r="C28" s="3336"/>
      <c r="D28" s="3202" t="s">
        <v>4216</v>
      </c>
      <c r="E28" s="3203">
        <f t="shared" si="4"/>
        <v>35244.217199999999</v>
      </c>
      <c r="F28" s="3203">
        <f>H5</f>
        <v>25326.18</v>
      </c>
      <c r="G28" s="3203">
        <f>SUM('[3]IRR底稿-银煌'!CJ4:CU4)</f>
        <v>4464.0400000000009</v>
      </c>
      <c r="H28" s="3203">
        <f>SUM('[3]IRR底稿-银煌'!CV4:DG4)</f>
        <v>5453.9971999999998</v>
      </c>
      <c r="I28" s="3203">
        <v>0</v>
      </c>
      <c r="J28" s="3203">
        <v>0</v>
      </c>
      <c r="K28" s="3203">
        <v>0</v>
      </c>
      <c r="L28" s="3203">
        <v>0</v>
      </c>
    </row>
    <row r="29" spans="3:12" ht="17.25" thickBot="1">
      <c r="C29" s="3340" t="s">
        <v>4189</v>
      </c>
      <c r="D29" s="3202" t="s">
        <v>4214</v>
      </c>
      <c r="E29" s="3203">
        <f t="shared" si="4"/>
        <v>78226.740000000005</v>
      </c>
      <c r="F29" s="3203">
        <v>0</v>
      </c>
      <c r="G29" s="3203">
        <v>0</v>
      </c>
      <c r="H29" s="3203">
        <v>0</v>
      </c>
      <c r="I29" s="3203">
        <v>0</v>
      </c>
      <c r="J29" s="3203">
        <v>0</v>
      </c>
      <c r="K29" s="3203">
        <v>0</v>
      </c>
      <c r="L29" s="3203">
        <f>D6</f>
        <v>78226.740000000005</v>
      </c>
    </row>
    <row r="30" spans="3:12" ht="17.25" thickBot="1">
      <c r="C30" s="3341"/>
      <c r="D30" s="3202" t="s">
        <v>4215</v>
      </c>
      <c r="E30" s="3203">
        <f t="shared" si="4"/>
        <v>50065.113600000004</v>
      </c>
      <c r="F30" s="3203">
        <v>0</v>
      </c>
      <c r="G30" s="3203">
        <v>0</v>
      </c>
      <c r="H30" s="3203">
        <v>0</v>
      </c>
      <c r="I30" s="3203">
        <v>0</v>
      </c>
      <c r="J30" s="3203">
        <v>0</v>
      </c>
      <c r="K30" s="3203">
        <v>0</v>
      </c>
      <c r="L30" s="3203">
        <f>G19</f>
        <v>50065.113600000004</v>
      </c>
    </row>
    <row r="31" spans="3:12" ht="17.25" thickBot="1">
      <c r="C31" s="3342"/>
      <c r="D31" s="3202" t="s">
        <v>4216</v>
      </c>
      <c r="E31" s="3203">
        <f t="shared" si="4"/>
        <v>50065.113600000004</v>
      </c>
      <c r="F31" s="3203">
        <v>0</v>
      </c>
      <c r="G31" s="3203">
        <v>0</v>
      </c>
      <c r="H31" s="3203">
        <v>0</v>
      </c>
      <c r="I31" s="3203">
        <v>0</v>
      </c>
      <c r="J31" s="3203">
        <v>0</v>
      </c>
      <c r="K31" s="3203">
        <v>0</v>
      </c>
      <c r="L31" s="3203">
        <f>L30</f>
        <v>50065.113600000004</v>
      </c>
    </row>
    <row r="32" spans="3:12" ht="33.75" thickBot="1">
      <c r="C32" s="3235" t="s">
        <v>4197</v>
      </c>
      <c r="D32" s="3202" t="s">
        <v>4217</v>
      </c>
      <c r="E32" s="3203">
        <f t="shared" si="4"/>
        <v>15200</v>
      </c>
      <c r="F32" s="3203">
        <v>0</v>
      </c>
      <c r="G32" s="3203">
        <v>0</v>
      </c>
      <c r="H32" s="3203">
        <v>0</v>
      </c>
      <c r="I32" s="3203">
        <v>0</v>
      </c>
      <c r="J32" s="3203">
        <v>0</v>
      </c>
      <c r="K32" s="3203">
        <v>0</v>
      </c>
      <c r="L32" s="3203">
        <f>G20</f>
        <v>15200</v>
      </c>
    </row>
    <row r="33" spans="1:14" ht="33.75" thickBot="1">
      <c r="C33" s="3235" t="s">
        <v>4198</v>
      </c>
      <c r="D33" s="3202" t="s">
        <v>4217</v>
      </c>
      <c r="E33" s="3203">
        <f t="shared" si="4"/>
        <v>6400</v>
      </c>
      <c r="F33" s="3203">
        <v>0</v>
      </c>
      <c r="G33" s="3203">
        <v>0</v>
      </c>
      <c r="H33" s="3203">
        <v>0</v>
      </c>
      <c r="I33" s="3203">
        <v>0</v>
      </c>
      <c r="J33" s="3203">
        <v>0</v>
      </c>
      <c r="K33" s="3203">
        <v>0</v>
      </c>
      <c r="L33" s="3203">
        <f>G21</f>
        <v>6400</v>
      </c>
    </row>
    <row r="34" spans="1:14" ht="18.95" customHeight="1" thickBot="1">
      <c r="C34" s="3336" t="s">
        <v>4190</v>
      </c>
      <c r="D34" s="3202" t="s">
        <v>4218</v>
      </c>
      <c r="E34" s="3203">
        <f t="shared" si="4"/>
        <v>106909.33080000001</v>
      </c>
      <c r="F34" s="3203">
        <f t="shared" ref="F34:H35" si="5">F27</f>
        <v>27096.39</v>
      </c>
      <c r="G34" s="3203">
        <f t="shared" si="5"/>
        <v>5370</v>
      </c>
      <c r="H34" s="3203">
        <f t="shared" si="5"/>
        <v>2777.8271999999997</v>
      </c>
      <c r="I34" s="3203">
        <v>0</v>
      </c>
      <c r="J34" s="3203">
        <v>0</v>
      </c>
      <c r="K34" s="3203">
        <v>0</v>
      </c>
      <c r="L34" s="3203">
        <f>L30+L32+L33</f>
        <v>71665.113600000012</v>
      </c>
    </row>
    <row r="35" spans="1:14" ht="18.95" customHeight="1" thickBot="1">
      <c r="C35" s="3336"/>
      <c r="D35" s="3202" t="s">
        <v>4219</v>
      </c>
      <c r="E35" s="3203">
        <f t="shared" si="4"/>
        <v>106909.33080000001</v>
      </c>
      <c r="F35" s="3203">
        <f t="shared" si="5"/>
        <v>25326.18</v>
      </c>
      <c r="G35" s="3203">
        <f t="shared" si="5"/>
        <v>4464.0400000000009</v>
      </c>
      <c r="H35" s="3203">
        <f t="shared" si="5"/>
        <v>5453.9971999999998</v>
      </c>
      <c r="I35" s="3203">
        <v>0</v>
      </c>
      <c r="J35" s="3203">
        <v>0</v>
      </c>
      <c r="K35" s="3203">
        <v>0</v>
      </c>
      <c r="L35" s="3203">
        <f>L34</f>
        <v>71665.113600000012</v>
      </c>
    </row>
    <row r="37" spans="1:14" ht="18.95" customHeight="1" thickBot="1">
      <c r="C37" s="3339" t="s">
        <v>4220</v>
      </c>
      <c r="D37" s="3339" t="s">
        <v>4221</v>
      </c>
      <c r="E37" s="3339" t="s">
        <v>4222</v>
      </c>
      <c r="F37" s="3339" t="s">
        <v>4223</v>
      </c>
      <c r="G37" s="3339" t="s">
        <v>4224</v>
      </c>
      <c r="H37" s="3339" t="s">
        <v>4225</v>
      </c>
      <c r="I37" s="3339" t="s">
        <v>4226</v>
      </c>
      <c r="J37" s="3339" t="s">
        <v>4227</v>
      </c>
      <c r="K37" s="3339" t="s">
        <v>4228</v>
      </c>
      <c r="L37" s="3339" t="s">
        <v>4229</v>
      </c>
      <c r="M37" s="3339"/>
      <c r="N37" s="3339"/>
    </row>
    <row r="38" spans="1:14" ht="18.95" customHeight="1" thickBot="1">
      <c r="C38" s="3339"/>
      <c r="D38" s="3339"/>
      <c r="E38" s="3339"/>
      <c r="F38" s="3339"/>
      <c r="G38" s="3339"/>
      <c r="H38" s="3339"/>
      <c r="I38" s="3339"/>
      <c r="J38" s="3339"/>
      <c r="K38" s="3339"/>
      <c r="L38" s="3212" t="s">
        <v>4230</v>
      </c>
      <c r="M38" s="3212" t="s">
        <v>4231</v>
      </c>
      <c r="N38" s="3212" t="s">
        <v>4232</v>
      </c>
    </row>
    <row r="39" spans="1:14" ht="18.95" customHeight="1" thickBot="1">
      <c r="A39" s="3213" t="s">
        <v>4233</v>
      </c>
      <c r="B39" s="3213" t="s">
        <v>4234</v>
      </c>
      <c r="C39" s="3214">
        <v>5001</v>
      </c>
      <c r="D39" s="3215" t="s">
        <v>4235</v>
      </c>
      <c r="E39" s="3216">
        <f t="shared" ref="E39:G39" si="6">SUM(E40:E45)</f>
        <v>70904.56</v>
      </c>
      <c r="F39" s="3216">
        <f t="shared" si="6"/>
        <v>70904.56</v>
      </c>
      <c r="G39" s="3216">
        <f t="shared" si="6"/>
        <v>39503.96</v>
      </c>
      <c r="H39" s="3237">
        <f>G39/F39</f>
        <v>0.55714272819688893</v>
      </c>
      <c r="I39" s="3216">
        <f t="shared" ref="I39:N39" si="7">SUM(I40:I45)</f>
        <v>70904.56</v>
      </c>
      <c r="J39" s="3216">
        <f t="shared" si="7"/>
        <v>31400.600000000002</v>
      </c>
      <c r="K39" s="3237">
        <v>0.1</v>
      </c>
      <c r="L39" s="3216">
        <f t="shared" si="7"/>
        <v>5222.8264080000008</v>
      </c>
      <c r="M39" s="3216">
        <f t="shared" si="7"/>
        <v>0</v>
      </c>
      <c r="N39" s="3216">
        <f t="shared" si="7"/>
        <v>26177.773592000001</v>
      </c>
    </row>
    <row r="40" spans="1:14" ht="18.95" customHeight="1" thickBot="1">
      <c r="A40" s="3217">
        <v>29033216.870000001</v>
      </c>
      <c r="B40" s="3217">
        <v>28644765.859999999</v>
      </c>
      <c r="C40" s="3218">
        <v>5001.0200000000004</v>
      </c>
      <c r="D40" s="3219" t="s">
        <v>4236</v>
      </c>
      <c r="E40" s="3216">
        <f t="shared" ref="E40:E45" si="8">ROUND(A40/10000,2)</f>
        <v>2903.32</v>
      </c>
      <c r="F40" s="3216">
        <f t="shared" ref="F40:F45" si="9">E40</f>
        <v>2903.32</v>
      </c>
      <c r="G40" s="3216">
        <f>ROUND('[3]IRR底稿-银煌'!C105/10000,2)-2000</f>
        <v>2045.9</v>
      </c>
      <c r="H40" s="3237">
        <f t="shared" ref="H40:H45" si="10">G40/F40</f>
        <v>0.70467602606670987</v>
      </c>
      <c r="I40" s="3216">
        <f t="shared" ref="I40:I45" si="11">F40</f>
        <v>2903.32</v>
      </c>
      <c r="J40" s="3220">
        <f t="shared" ref="J40:J45" si="12">I40-G40</f>
        <v>857.42000000000007</v>
      </c>
      <c r="K40" s="3237">
        <f t="shared" ref="K40:K45" si="13">J40/F40</f>
        <v>0.29532397393329018</v>
      </c>
      <c r="L40" s="3220">
        <v>0</v>
      </c>
      <c r="M40" s="3220">
        <v>0</v>
      </c>
      <c r="N40" s="3220">
        <f>J40-L40</f>
        <v>857.42000000000007</v>
      </c>
    </row>
    <row r="41" spans="1:14" ht="18.95" customHeight="1" thickBot="1">
      <c r="A41" s="3217">
        <v>593412515.34000003</v>
      </c>
      <c r="B41" s="3217">
        <v>629826622.32000005</v>
      </c>
      <c r="C41" s="3218">
        <v>5001.03</v>
      </c>
      <c r="D41" s="3219" t="s">
        <v>4237</v>
      </c>
      <c r="E41" s="3216">
        <f t="shared" si="8"/>
        <v>59341.25</v>
      </c>
      <c r="F41" s="3216">
        <f t="shared" si="9"/>
        <v>59341.25</v>
      </c>
      <c r="G41" s="3216">
        <f>ROUND('[3]IRR底稿-银煌'!C106/10000,2)+2000</f>
        <v>33515.009999999995</v>
      </c>
      <c r="H41" s="3237">
        <f t="shared" si="10"/>
        <v>0.56478436163714107</v>
      </c>
      <c r="I41" s="3216">
        <f t="shared" si="11"/>
        <v>59341.25</v>
      </c>
      <c r="J41" s="3220">
        <f t="shared" si="12"/>
        <v>25826.240000000005</v>
      </c>
      <c r="K41" s="3237">
        <f t="shared" si="13"/>
        <v>0.43521563836285898</v>
      </c>
      <c r="L41" s="3216">
        <f>SUM('[3]IRR底稿-银煌'!CJ9:CU9)</f>
        <v>5222.8264080000008</v>
      </c>
      <c r="M41" s="3220">
        <v>0</v>
      </c>
      <c r="N41" s="3238">
        <f>J41-L41</f>
        <v>20603.413592000004</v>
      </c>
    </row>
    <row r="42" spans="1:14" ht="18.95" customHeight="1" thickBot="1">
      <c r="A42" s="3217">
        <v>76179062</v>
      </c>
      <c r="B42" s="3217">
        <v>87119044.079999998</v>
      </c>
      <c r="C42" s="3218">
        <v>5001.04</v>
      </c>
      <c r="D42" s="3219" t="s">
        <v>4238</v>
      </c>
      <c r="E42" s="3216">
        <f t="shared" si="8"/>
        <v>7617.91</v>
      </c>
      <c r="F42" s="3216">
        <f t="shared" si="9"/>
        <v>7617.91</v>
      </c>
      <c r="G42" s="3216">
        <f>ROUND('[3]IRR底稿-银煌'!C107/10000,2)</f>
        <v>3943.05</v>
      </c>
      <c r="H42" s="3237">
        <f t="shared" si="10"/>
        <v>0.51760259703777023</v>
      </c>
      <c r="I42" s="3216">
        <f t="shared" si="11"/>
        <v>7617.91</v>
      </c>
      <c r="J42" s="3220">
        <f t="shared" si="12"/>
        <v>3674.8599999999997</v>
      </c>
      <c r="K42" s="3237">
        <f t="shared" si="13"/>
        <v>0.48239740296222977</v>
      </c>
      <c r="L42" s="3220">
        <v>0</v>
      </c>
      <c r="M42" s="3220">
        <v>0</v>
      </c>
      <c r="N42" s="3220">
        <f t="shared" ref="N42:N43" si="14">J42</f>
        <v>3674.8599999999997</v>
      </c>
    </row>
    <row r="43" spans="1:14" ht="18.95" customHeight="1" thickBot="1">
      <c r="A43" s="3217">
        <v>4256890</v>
      </c>
      <c r="B43" s="3217">
        <v>3256890</v>
      </c>
      <c r="C43" s="3218">
        <v>5001.05</v>
      </c>
      <c r="D43" s="3219" t="s">
        <v>4239</v>
      </c>
      <c r="E43" s="3216">
        <f t="shared" si="8"/>
        <v>425.69</v>
      </c>
      <c r="F43" s="3216">
        <f t="shared" si="9"/>
        <v>425.69</v>
      </c>
      <c r="G43" s="3238">
        <f>ROUND('[3]IRR底稿-银煌'!C108/10000,2)</f>
        <v>0</v>
      </c>
      <c r="H43" s="3237">
        <f t="shared" si="10"/>
        <v>0</v>
      </c>
      <c r="I43" s="3216">
        <f t="shared" si="11"/>
        <v>425.69</v>
      </c>
      <c r="J43" s="3220">
        <f t="shared" si="12"/>
        <v>425.69</v>
      </c>
      <c r="K43" s="3237">
        <f t="shared" si="13"/>
        <v>1</v>
      </c>
      <c r="L43" s="3220">
        <v>0</v>
      </c>
      <c r="M43" s="3220">
        <v>0</v>
      </c>
      <c r="N43" s="3220">
        <f t="shared" si="14"/>
        <v>425.69</v>
      </c>
    </row>
    <row r="44" spans="1:14" ht="18.95" customHeight="1" thickBot="1">
      <c r="A44" s="3217">
        <v>0</v>
      </c>
      <c r="B44" s="3217">
        <v>0</v>
      </c>
      <c r="C44" s="3218">
        <v>5001.0600000000004</v>
      </c>
      <c r="D44" s="3219" t="s">
        <v>4240</v>
      </c>
      <c r="E44" s="3216">
        <f t="shared" si="8"/>
        <v>0</v>
      </c>
      <c r="F44" s="3216">
        <f t="shared" si="9"/>
        <v>0</v>
      </c>
      <c r="G44" s="3238">
        <f>ROUND('[3]IRR底稿-银煌'!C109/10000,2)</f>
        <v>0</v>
      </c>
      <c r="H44" s="3237"/>
      <c r="I44" s="3216">
        <f t="shared" si="11"/>
        <v>0</v>
      </c>
      <c r="J44" s="3220"/>
      <c r="K44" s="3237"/>
      <c r="L44" s="3220"/>
      <c r="M44" s="3220">
        <v>0</v>
      </c>
      <c r="N44" s="3220"/>
    </row>
    <row r="45" spans="1:14" ht="18.95" customHeight="1" thickBot="1">
      <c r="A45" s="3217">
        <v>6163854.5300000003</v>
      </c>
      <c r="B45" s="3217">
        <v>7558029.29</v>
      </c>
      <c r="C45" s="3218">
        <v>5001.07</v>
      </c>
      <c r="D45" s="3219" t="s">
        <v>4241</v>
      </c>
      <c r="E45" s="3216">
        <f t="shared" si="8"/>
        <v>616.39</v>
      </c>
      <c r="F45" s="3216">
        <f t="shared" si="9"/>
        <v>616.39</v>
      </c>
      <c r="G45" s="3216">
        <v>0</v>
      </c>
      <c r="H45" s="3237">
        <f t="shared" si="10"/>
        <v>0</v>
      </c>
      <c r="I45" s="3216">
        <f t="shared" si="11"/>
        <v>616.39</v>
      </c>
      <c r="J45" s="3220">
        <f t="shared" si="12"/>
        <v>616.39</v>
      </c>
      <c r="K45" s="3237">
        <f t="shared" si="13"/>
        <v>1</v>
      </c>
      <c r="L45" s="3220">
        <v>0</v>
      </c>
      <c r="M45" s="3220">
        <v>0</v>
      </c>
      <c r="N45" s="3220">
        <f>J45</f>
        <v>616.39</v>
      </c>
    </row>
    <row r="48" spans="1:14" ht="18.95" customHeight="1" thickBot="1">
      <c r="D48" s="3222"/>
      <c r="F48" s="3223"/>
    </row>
    <row r="49" spans="4:6" ht="18.95" customHeight="1" thickBot="1">
      <c r="D49" s="3224"/>
      <c r="F49" s="3225"/>
    </row>
    <row r="50" spans="4:6" ht="18.95" customHeight="1" thickBot="1">
      <c r="D50" s="3224"/>
      <c r="F50" s="3225"/>
    </row>
    <row r="51" spans="4:6" ht="18.95" customHeight="1" thickBot="1">
      <c r="D51" s="3224"/>
      <c r="F51" s="3225"/>
    </row>
    <row r="52" spans="4:6" ht="18.95" customHeight="1" thickBot="1">
      <c r="D52" s="3224"/>
      <c r="F52" s="3225"/>
    </row>
    <row r="53" spans="4:6" ht="18.95" customHeight="1" thickBot="1">
      <c r="D53" s="3224"/>
      <c r="F53" s="3225"/>
    </row>
    <row r="54" spans="4:6" ht="18.95" customHeight="1" thickBot="1">
      <c r="D54" s="3226"/>
      <c r="F54" s="3227"/>
    </row>
    <row r="68" spans="2:14" ht="18.95" customHeight="1" thickBot="1">
      <c r="C68" s="3228" t="s">
        <v>4278</v>
      </c>
      <c r="D68" s="3228" t="s">
        <v>4242</v>
      </c>
      <c r="E68" s="3228" t="s">
        <v>4243</v>
      </c>
      <c r="F68" s="3228" t="s">
        <v>4244</v>
      </c>
      <c r="G68" s="3228" t="s">
        <v>4245</v>
      </c>
      <c r="H68" s="3228" t="s">
        <v>4246</v>
      </c>
      <c r="I68" s="3228" t="s">
        <v>4247</v>
      </c>
      <c r="J68" s="3228" t="s">
        <v>4248</v>
      </c>
      <c r="K68" s="3228" t="s">
        <v>4249</v>
      </c>
      <c r="L68" s="3195" t="s">
        <v>4279</v>
      </c>
    </row>
    <row r="69" spans="2:14" ht="18.95" customHeight="1" thickBot="1">
      <c r="C69" s="3229" t="s">
        <v>4250</v>
      </c>
      <c r="D69" s="3235">
        <f>SUM(D70:D74)</f>
        <v>1220.0500000000002</v>
      </c>
      <c r="E69" s="3230">
        <f t="shared" ref="E69:J69" si="15">SUM(E70:E74)</f>
        <v>216.27106608</v>
      </c>
      <c r="F69" s="3230">
        <f t="shared" si="15"/>
        <v>246.42964585999999</v>
      </c>
      <c r="G69" s="3230">
        <f t="shared" si="15"/>
        <v>40.442160000000001</v>
      </c>
      <c r="H69" s="3230">
        <f t="shared" si="15"/>
        <v>40.442160000000001</v>
      </c>
      <c r="I69" s="3230">
        <f t="shared" si="15"/>
        <v>40.442160000000001</v>
      </c>
      <c r="J69" s="3230">
        <f t="shared" si="15"/>
        <v>1556.96409498</v>
      </c>
      <c r="K69" s="3239">
        <f>SUM(D69:J69)-0.01</f>
        <v>3361.0312869200002</v>
      </c>
      <c r="L69" s="3233">
        <f>K69-'[3]IRR底稿-银煌'!C13</f>
        <v>0</v>
      </c>
    </row>
    <row r="70" spans="2:14" ht="18.95" customHeight="1" thickBot="1">
      <c r="C70" s="3235" t="s">
        <v>4251</v>
      </c>
      <c r="D70" s="3235">
        <f>ROUND('[3]IRR底稿-银煌'!C215/10000,2)</f>
        <v>210.31</v>
      </c>
      <c r="E70" s="3230">
        <f t="shared" ref="E70:J73" si="16">E78</f>
        <v>8.8255575499999992</v>
      </c>
      <c r="F70" s="3230">
        <f t="shared" si="16"/>
        <v>-8.7011563400000007</v>
      </c>
      <c r="G70" s="3230">
        <f t="shared" si="16"/>
        <v>0</v>
      </c>
      <c r="H70" s="3230">
        <f t="shared" si="16"/>
        <v>0</v>
      </c>
      <c r="I70" s="3230">
        <f t="shared" si="16"/>
        <v>0</v>
      </c>
      <c r="J70" s="3230">
        <f t="shared" si="16"/>
        <v>5.1629470900000003</v>
      </c>
      <c r="K70" s="3200">
        <f t="shared" ref="K70:K74" si="17">SUM(D70:J70)</f>
        <v>215.59734829999996</v>
      </c>
    </row>
    <row r="71" spans="2:14" ht="18.95" customHeight="1" thickBot="1">
      <c r="C71" s="3235" t="s">
        <v>4252</v>
      </c>
      <c r="D71" s="3235">
        <f>ROUND('[3]IRR底稿-银煌'!C216/10000,2)</f>
        <v>510.42</v>
      </c>
      <c r="E71" s="3230">
        <f t="shared" si="16"/>
        <v>47.2864</v>
      </c>
      <c r="F71" s="3230">
        <f t="shared" si="16"/>
        <v>41.522799999999997</v>
      </c>
      <c r="G71" s="3230">
        <f t="shared" si="16"/>
        <v>0</v>
      </c>
      <c r="H71" s="3240">
        <v>0</v>
      </c>
      <c r="I71" s="3240">
        <v>0</v>
      </c>
      <c r="J71" s="3240">
        <f>-SUM(D71:I71)</f>
        <v>-599.22919999999999</v>
      </c>
      <c r="K71" s="3200">
        <f t="shared" si="17"/>
        <v>0</v>
      </c>
    </row>
    <row r="72" spans="2:14" ht="18.95" customHeight="1" thickBot="1">
      <c r="C72" s="3235" t="s">
        <v>4253</v>
      </c>
      <c r="D72" s="3235">
        <f>ROUND('[3]IRR底稿-银煌'!C217/10000,2)</f>
        <v>0</v>
      </c>
      <c r="E72" s="3230">
        <f t="shared" si="16"/>
        <v>0</v>
      </c>
      <c r="F72" s="3230">
        <f t="shared" si="16"/>
        <v>0</v>
      </c>
      <c r="G72" s="3230">
        <f t="shared" si="16"/>
        <v>0</v>
      </c>
      <c r="H72" s="3230">
        <f t="shared" si="16"/>
        <v>0</v>
      </c>
      <c r="I72" s="3230">
        <f t="shared" si="16"/>
        <v>0</v>
      </c>
      <c r="J72" s="3230">
        <f t="shared" si="16"/>
        <v>0</v>
      </c>
      <c r="K72" s="3200">
        <f t="shared" si="17"/>
        <v>0</v>
      </c>
    </row>
    <row r="73" spans="2:14" ht="18.95" customHeight="1" thickBot="1">
      <c r="C73" s="3235" t="s">
        <v>4254</v>
      </c>
      <c r="D73" s="3235">
        <f>ROUND('[3]IRR底稿-银煌'!C218/10000,2)</f>
        <v>17.97</v>
      </c>
      <c r="E73" s="3230">
        <f t="shared" si="16"/>
        <v>124.71694853</v>
      </c>
      <c r="F73" s="3230">
        <f t="shared" si="16"/>
        <v>168.16584219999999</v>
      </c>
      <c r="G73" s="3230">
        <f t="shared" si="16"/>
        <v>0</v>
      </c>
      <c r="H73" s="3240">
        <v>0</v>
      </c>
      <c r="I73" s="3240">
        <v>0</v>
      </c>
      <c r="J73" s="3240">
        <f>SUM(H81:J81)</f>
        <v>2029.7038678900001</v>
      </c>
      <c r="K73" s="3200">
        <f t="shared" si="17"/>
        <v>2340.5566586200002</v>
      </c>
    </row>
    <row r="74" spans="2:14" ht="18.95" customHeight="1" thickBot="1">
      <c r="B74" s="3180" t="s">
        <v>4255</v>
      </c>
      <c r="C74" s="3235" t="s">
        <v>4256</v>
      </c>
      <c r="D74" s="3235">
        <f>ROUND(SUM('[3]IRR底稿-银煌'!C219,'[3]IRR底稿-银煌'!C223:C225)/10000,2)</f>
        <v>481.35</v>
      </c>
      <c r="E74" s="3230">
        <f t="shared" ref="E74:J74" si="18">E82+E83</f>
        <v>35.442160000000001</v>
      </c>
      <c r="F74" s="3230">
        <f t="shared" si="18"/>
        <v>45.442160000000001</v>
      </c>
      <c r="G74" s="3230">
        <f t="shared" si="18"/>
        <v>40.442160000000001</v>
      </c>
      <c r="H74" s="3230">
        <f t="shared" si="18"/>
        <v>40.442160000000001</v>
      </c>
      <c r="I74" s="3230">
        <f t="shared" si="18"/>
        <v>40.442160000000001</v>
      </c>
      <c r="J74" s="3230">
        <f t="shared" si="18"/>
        <v>121.32648</v>
      </c>
      <c r="K74" s="3200">
        <f t="shared" si="17"/>
        <v>804.88728000000015</v>
      </c>
    </row>
    <row r="75" spans="2:14" ht="18.95" customHeight="1">
      <c r="L75" s="3195" t="s">
        <v>4232</v>
      </c>
      <c r="M75" s="3195" t="s">
        <v>4257</v>
      </c>
      <c r="N75" s="3195" t="s">
        <v>4258</v>
      </c>
    </row>
    <row r="76" spans="2:14" ht="18.95" customHeight="1">
      <c r="C76" s="3231" t="s">
        <v>4259</v>
      </c>
      <c r="E76" s="3232">
        <v>216.27106608</v>
      </c>
      <c r="F76" s="3232">
        <v>246.42964585999999</v>
      </c>
      <c r="G76" s="3232">
        <v>40.442160000000001</v>
      </c>
      <c r="H76" s="3232">
        <v>382.03509028000002</v>
      </c>
      <c r="I76" s="3232">
        <v>1024.6915159600001</v>
      </c>
      <c r="J76" s="3232">
        <f t="shared" ref="J76:J83" si="19">SUM(L76:N76)</f>
        <v>1788.7604087399998</v>
      </c>
      <c r="L76" s="3232">
        <v>844.49530678999997</v>
      </c>
      <c r="M76" s="3232">
        <v>850.27390678999996</v>
      </c>
      <c r="N76" s="3232">
        <v>93.991195160000004</v>
      </c>
    </row>
    <row r="77" spans="2:14" ht="18.95" customHeight="1">
      <c r="C77" s="3231" t="s">
        <v>4260</v>
      </c>
      <c r="E77" s="3232">
        <v>0</v>
      </c>
      <c r="F77" s="3232">
        <v>0</v>
      </c>
      <c r="G77" s="3232">
        <v>0</v>
      </c>
      <c r="H77" s="3232">
        <v>0</v>
      </c>
      <c r="I77" s="3232">
        <v>0</v>
      </c>
      <c r="J77" s="3232">
        <f t="shared" si="19"/>
        <v>0</v>
      </c>
      <c r="L77" s="3232">
        <v>0</v>
      </c>
      <c r="M77" s="3232">
        <v>0</v>
      </c>
      <c r="N77" s="3232">
        <v>0</v>
      </c>
    </row>
    <row r="78" spans="2:14" ht="18.95" customHeight="1">
      <c r="C78" s="3231" t="s">
        <v>4261</v>
      </c>
      <c r="E78" s="3232">
        <v>8.8255575499999992</v>
      </c>
      <c r="F78" s="3232">
        <v>-8.7011563400000007</v>
      </c>
      <c r="G78" s="3232">
        <v>0</v>
      </c>
      <c r="H78" s="3232">
        <v>0</v>
      </c>
      <c r="I78" s="3232">
        <v>0</v>
      </c>
      <c r="J78" s="3232">
        <f t="shared" si="19"/>
        <v>5.1629470900000003</v>
      </c>
      <c r="L78" s="3232">
        <v>0</v>
      </c>
      <c r="M78" s="3232">
        <v>0</v>
      </c>
      <c r="N78" s="3232">
        <v>5.1629470900000003</v>
      </c>
    </row>
    <row r="79" spans="2:14" ht="18.95" customHeight="1">
      <c r="C79" s="3231" t="s">
        <v>4262</v>
      </c>
      <c r="E79" s="3232">
        <v>47.2864</v>
      </c>
      <c r="F79" s="3232">
        <v>41.522799999999997</v>
      </c>
      <c r="G79" s="3232">
        <v>0</v>
      </c>
      <c r="H79" s="3232">
        <v>131.9838</v>
      </c>
      <c r="I79" s="3232">
        <v>395.7022</v>
      </c>
      <c r="J79" s="3232">
        <f t="shared" si="19"/>
        <v>430.72340000000003</v>
      </c>
      <c r="L79" s="3232">
        <v>330.38099999999997</v>
      </c>
      <c r="M79" s="3232">
        <v>336.15960000000001</v>
      </c>
      <c r="N79" s="3232">
        <v>-235.81720000000001</v>
      </c>
    </row>
    <row r="80" spans="2:14" ht="18.95" customHeight="1">
      <c r="C80" s="3231" t="s">
        <v>4263</v>
      </c>
      <c r="E80" s="3232">
        <v>0</v>
      </c>
      <c r="F80" s="3232">
        <v>0</v>
      </c>
      <c r="G80" s="3232">
        <v>0</v>
      </c>
      <c r="H80" s="3232">
        <v>0</v>
      </c>
      <c r="I80" s="3232">
        <v>0</v>
      </c>
      <c r="J80" s="3232">
        <f t="shared" si="19"/>
        <v>0</v>
      </c>
      <c r="L80" s="3232">
        <v>0</v>
      </c>
      <c r="M80" s="3232">
        <v>0</v>
      </c>
      <c r="N80" s="3232">
        <v>0</v>
      </c>
    </row>
    <row r="81" spans="2:14" ht="18.95" customHeight="1">
      <c r="C81" s="3231" t="s">
        <v>4264</v>
      </c>
      <c r="E81" s="3232">
        <v>124.71694853</v>
      </c>
      <c r="F81" s="3232">
        <v>168.16584219999999</v>
      </c>
      <c r="G81" s="3232">
        <v>0</v>
      </c>
      <c r="H81" s="3232">
        <v>209.60913027999999</v>
      </c>
      <c r="I81" s="3232">
        <v>588.54715596000005</v>
      </c>
      <c r="J81" s="3232">
        <f t="shared" si="19"/>
        <v>1231.54758165</v>
      </c>
      <c r="L81" s="3232">
        <v>473.67214679</v>
      </c>
      <c r="M81" s="3232">
        <v>473.67214679</v>
      </c>
      <c r="N81" s="3232">
        <v>284.20328806999999</v>
      </c>
    </row>
    <row r="82" spans="2:14" ht="18.95" customHeight="1">
      <c r="C82" s="3231" t="s">
        <v>4265</v>
      </c>
      <c r="E82" s="3232">
        <v>5</v>
      </c>
      <c r="F82" s="3232">
        <v>15</v>
      </c>
      <c r="G82" s="3232">
        <v>10</v>
      </c>
      <c r="H82" s="3232">
        <v>10</v>
      </c>
      <c r="I82" s="3232">
        <v>10</v>
      </c>
      <c r="J82" s="3232">
        <f t="shared" si="19"/>
        <v>30</v>
      </c>
      <c r="L82" s="3232">
        <v>10</v>
      </c>
      <c r="M82" s="3232">
        <v>10</v>
      </c>
      <c r="N82" s="3232">
        <v>10</v>
      </c>
    </row>
    <row r="83" spans="2:14" ht="18.95" customHeight="1">
      <c r="C83" s="3231" t="s">
        <v>4266</v>
      </c>
      <c r="E83" s="3232">
        <v>30.442160000000001</v>
      </c>
      <c r="F83" s="3232">
        <v>30.442160000000001</v>
      </c>
      <c r="G83" s="3232">
        <v>30.442160000000001</v>
      </c>
      <c r="H83" s="3232">
        <v>30.442160000000001</v>
      </c>
      <c r="I83" s="3232">
        <v>30.442160000000001</v>
      </c>
      <c r="J83" s="3232">
        <f t="shared" si="19"/>
        <v>91.326480000000004</v>
      </c>
      <c r="L83" s="3232">
        <v>30.442160000000001</v>
      </c>
      <c r="M83" s="3232">
        <v>30.442160000000001</v>
      </c>
      <c r="N83" s="3232">
        <v>30.442160000000001</v>
      </c>
    </row>
    <row r="85" spans="2:14" ht="18.95" customHeight="1" thickBot="1">
      <c r="C85" s="3228" t="s">
        <v>4280</v>
      </c>
      <c r="D85" s="3228" t="s">
        <v>4242</v>
      </c>
      <c r="E85" s="3228" t="s">
        <v>4243</v>
      </c>
      <c r="F85" s="3228" t="s">
        <v>4244</v>
      </c>
      <c r="G85" s="3228" t="s">
        <v>4245</v>
      </c>
      <c r="H85" s="3228" t="s">
        <v>4246</v>
      </c>
      <c r="I85" s="3228" t="s">
        <v>4247</v>
      </c>
      <c r="J85" s="3228" t="s">
        <v>4248</v>
      </c>
      <c r="K85" s="3228" t="s">
        <v>4249</v>
      </c>
      <c r="L85" s="3195" t="s">
        <v>4279</v>
      </c>
    </row>
    <row r="86" spans="2:14" ht="18.95" customHeight="1" thickBot="1">
      <c r="C86" s="3229" t="s">
        <v>4250</v>
      </c>
      <c r="D86" s="3241">
        <f t="shared" ref="D86:J86" si="20">SUM(D87:D91)</f>
        <v>164</v>
      </c>
      <c r="E86" s="3230">
        <f t="shared" si="20"/>
        <v>52.53</v>
      </c>
      <c r="F86" s="3230">
        <f t="shared" si="20"/>
        <v>172.5</v>
      </c>
      <c r="G86" s="3230">
        <f t="shared" si="20"/>
        <v>0</v>
      </c>
      <c r="H86" s="3230">
        <f t="shared" si="20"/>
        <v>0</v>
      </c>
      <c r="I86" s="3230">
        <f t="shared" si="20"/>
        <v>0</v>
      </c>
      <c r="J86" s="3230">
        <f t="shared" si="20"/>
        <v>0</v>
      </c>
      <c r="K86" s="3200">
        <f t="shared" ref="K86:K91" si="21">SUM(D86:J86)</f>
        <v>389.03</v>
      </c>
      <c r="L86" s="3233">
        <f>K86-'[3]IRR底稿-银科'!C13</f>
        <v>0</v>
      </c>
    </row>
    <row r="87" spans="2:14" ht="18.95" customHeight="1" thickBot="1">
      <c r="C87" s="3235" t="s">
        <v>4251</v>
      </c>
      <c r="D87" s="3235">
        <f>ROUND('[3]IRR底稿-银科'!C215/10000,2)</f>
        <v>0.33</v>
      </c>
      <c r="E87" s="3230">
        <f t="shared" ref="E87:J90" si="22">E95</f>
        <v>0</v>
      </c>
      <c r="F87" s="3230">
        <f t="shared" si="22"/>
        <v>0</v>
      </c>
      <c r="G87" s="3230">
        <f t="shared" si="22"/>
        <v>0</v>
      </c>
      <c r="H87" s="3230">
        <f t="shared" si="22"/>
        <v>0</v>
      </c>
      <c r="I87" s="3230">
        <f t="shared" si="22"/>
        <v>0</v>
      </c>
      <c r="J87" s="3230">
        <f t="shared" si="22"/>
        <v>0</v>
      </c>
      <c r="K87" s="3200">
        <f t="shared" si="21"/>
        <v>0.33</v>
      </c>
    </row>
    <row r="88" spans="2:14" ht="18.95" customHeight="1" thickBot="1">
      <c r="C88" s="3235" t="s">
        <v>4252</v>
      </c>
      <c r="D88" s="3235">
        <f>ROUND('[3]IRR底稿-银科'!C216/10000,2)</f>
        <v>0</v>
      </c>
      <c r="E88" s="3230">
        <f t="shared" si="22"/>
        <v>0</v>
      </c>
      <c r="F88" s="3230">
        <f t="shared" si="22"/>
        <v>0</v>
      </c>
      <c r="G88" s="3230">
        <f t="shared" si="22"/>
        <v>0</v>
      </c>
      <c r="H88" s="3230">
        <f t="shared" si="22"/>
        <v>0</v>
      </c>
      <c r="I88" s="3230">
        <f t="shared" si="22"/>
        <v>0</v>
      </c>
      <c r="J88" s="3230">
        <f t="shared" si="22"/>
        <v>0</v>
      </c>
      <c r="K88" s="3200">
        <f t="shared" si="21"/>
        <v>0</v>
      </c>
    </row>
    <row r="89" spans="2:14" ht="18.95" customHeight="1" thickBot="1">
      <c r="C89" s="3235" t="s">
        <v>4253</v>
      </c>
      <c r="D89" s="3235">
        <f>ROUND('[3]IRR底稿-银科'!C217/10000,2)</f>
        <v>0</v>
      </c>
      <c r="E89" s="3230">
        <f t="shared" si="22"/>
        <v>22.5</v>
      </c>
      <c r="F89" s="3230">
        <f t="shared" si="22"/>
        <v>67.5</v>
      </c>
      <c r="G89" s="3230">
        <f t="shared" si="22"/>
        <v>0</v>
      </c>
      <c r="H89" s="3230">
        <f t="shared" si="22"/>
        <v>0</v>
      </c>
      <c r="I89" s="3230">
        <f t="shared" si="22"/>
        <v>0</v>
      </c>
      <c r="J89" s="3230">
        <f t="shared" si="22"/>
        <v>0</v>
      </c>
      <c r="K89" s="3200">
        <f t="shared" si="21"/>
        <v>90</v>
      </c>
    </row>
    <row r="90" spans="2:14" ht="18.95" customHeight="1" thickBot="1">
      <c r="C90" s="3235" t="s">
        <v>4254</v>
      </c>
      <c r="D90" s="3235">
        <f>ROUND('[3]IRR底稿-银科'!C218/10000,2)</f>
        <v>0</v>
      </c>
      <c r="E90" s="3230">
        <f t="shared" si="22"/>
        <v>0</v>
      </c>
      <c r="F90" s="3230">
        <f t="shared" si="22"/>
        <v>0</v>
      </c>
      <c r="G90" s="3230">
        <f t="shared" si="22"/>
        <v>0</v>
      </c>
      <c r="H90" s="3230">
        <f t="shared" si="22"/>
        <v>0</v>
      </c>
      <c r="I90" s="3230">
        <f t="shared" si="22"/>
        <v>0</v>
      </c>
      <c r="J90" s="3230">
        <f t="shared" si="22"/>
        <v>0</v>
      </c>
      <c r="K90" s="3200">
        <f t="shared" si="21"/>
        <v>0</v>
      </c>
    </row>
    <row r="91" spans="2:14" ht="18.95" customHeight="1" thickBot="1">
      <c r="B91" s="3180" t="s">
        <v>4281</v>
      </c>
      <c r="C91" s="3235" t="s">
        <v>4256</v>
      </c>
      <c r="D91" s="3242">
        <f>ROUND(SUM('[3]IRR底稿-银科'!C219,'[3]IRR底稿-银科'!C223:C225)/10000,2)+0.04</f>
        <v>163.66999999999999</v>
      </c>
      <c r="E91" s="3230">
        <f t="shared" ref="E91:J91" si="23">E99+E100</f>
        <v>30.03</v>
      </c>
      <c r="F91" s="3230">
        <f t="shared" si="23"/>
        <v>105</v>
      </c>
      <c r="G91" s="3230">
        <f t="shared" si="23"/>
        <v>0</v>
      </c>
      <c r="H91" s="3230">
        <f t="shared" si="23"/>
        <v>0</v>
      </c>
      <c r="I91" s="3230">
        <f t="shared" si="23"/>
        <v>0</v>
      </c>
      <c r="J91" s="3230">
        <f t="shared" si="23"/>
        <v>0</v>
      </c>
      <c r="K91" s="3200">
        <f t="shared" si="21"/>
        <v>298.7</v>
      </c>
    </row>
    <row r="93" spans="2:14" ht="18.95" customHeight="1">
      <c r="C93" s="3231" t="s">
        <v>4259</v>
      </c>
      <c r="E93" s="3243">
        <v>52.53</v>
      </c>
      <c r="F93" s="3243">
        <v>172.5</v>
      </c>
    </row>
    <row r="94" spans="2:14" ht="18.95" customHeight="1">
      <c r="C94" s="3231" t="s">
        <v>4260</v>
      </c>
      <c r="E94" s="3243">
        <v>0</v>
      </c>
      <c r="F94" s="3243">
        <v>0</v>
      </c>
    </row>
    <row r="95" spans="2:14" ht="18.95" customHeight="1">
      <c r="C95" s="3231" t="s">
        <v>4261</v>
      </c>
      <c r="E95" s="3243">
        <v>0</v>
      </c>
      <c r="F95" s="3243">
        <v>0</v>
      </c>
    </row>
    <row r="96" spans="2:14" ht="18.95" customHeight="1">
      <c r="C96" s="3231" t="s">
        <v>4262</v>
      </c>
      <c r="E96" s="3243">
        <v>0</v>
      </c>
      <c r="F96" s="3243">
        <v>0</v>
      </c>
    </row>
    <row r="97" spans="3:12" ht="18.95" customHeight="1">
      <c r="C97" s="3231" t="s">
        <v>4263</v>
      </c>
      <c r="E97" s="3243">
        <v>22.5</v>
      </c>
      <c r="F97" s="3243">
        <v>67.5</v>
      </c>
    </row>
    <row r="98" spans="3:12" ht="18.95" customHeight="1">
      <c r="C98" s="3231" t="s">
        <v>4264</v>
      </c>
      <c r="E98" s="3243">
        <v>0</v>
      </c>
      <c r="F98" s="3243">
        <v>0</v>
      </c>
    </row>
    <row r="99" spans="3:12" ht="18.95" customHeight="1">
      <c r="C99" s="3231" t="s">
        <v>4265</v>
      </c>
      <c r="E99" s="3243">
        <v>0</v>
      </c>
      <c r="F99" s="3243">
        <v>45</v>
      </c>
    </row>
    <row r="100" spans="3:12" ht="18.95" customHeight="1">
      <c r="C100" s="3231" t="s">
        <v>4266</v>
      </c>
      <c r="E100" s="3243">
        <v>30.03</v>
      </c>
      <c r="F100" s="3243">
        <v>60</v>
      </c>
    </row>
    <row r="102" spans="3:12" ht="18.95" customHeight="1" thickBot="1">
      <c r="C102" s="3228" t="s">
        <v>4282</v>
      </c>
      <c r="D102" s="3228" t="s">
        <v>4242</v>
      </c>
      <c r="E102" s="3228" t="s">
        <v>4243</v>
      </c>
      <c r="F102" s="3228" t="s">
        <v>4244</v>
      </c>
      <c r="G102" s="3228" t="s">
        <v>4245</v>
      </c>
      <c r="H102" s="3228" t="s">
        <v>4246</v>
      </c>
      <c r="I102" s="3228" t="s">
        <v>4247</v>
      </c>
      <c r="J102" s="3228" t="s">
        <v>4248</v>
      </c>
      <c r="K102" s="3228" t="s">
        <v>4249</v>
      </c>
      <c r="L102" s="3195" t="s">
        <v>4279</v>
      </c>
    </row>
    <row r="103" spans="3:12" ht="18.95" customHeight="1" thickBot="1">
      <c r="C103" s="3229" t="s">
        <v>4250</v>
      </c>
      <c r="D103" s="3203">
        <f t="shared" ref="D103:K108" si="24">D69+D86</f>
        <v>1384.0500000000002</v>
      </c>
      <c r="E103" s="3203">
        <f t="shared" si="24"/>
        <v>268.80106608</v>
      </c>
      <c r="F103" s="3203">
        <f t="shared" si="24"/>
        <v>418.92964585999999</v>
      </c>
      <c r="G103" s="3203">
        <f t="shared" si="24"/>
        <v>40.442160000000001</v>
      </c>
      <c r="H103" s="3203">
        <f t="shared" si="24"/>
        <v>40.442160000000001</v>
      </c>
      <c r="I103" s="3203">
        <f t="shared" si="24"/>
        <v>40.442160000000001</v>
      </c>
      <c r="J103" s="3203">
        <f t="shared" si="24"/>
        <v>1556.96409498</v>
      </c>
      <c r="K103" s="3203">
        <f t="shared" si="24"/>
        <v>3750.0612869200004</v>
      </c>
      <c r="L103" s="3233">
        <f>K103-[3]IRR底稿!C13</f>
        <v>0</v>
      </c>
    </row>
    <row r="104" spans="3:12" ht="18.95" customHeight="1" thickBot="1">
      <c r="C104" s="3235" t="s">
        <v>4251</v>
      </c>
      <c r="D104" s="3203">
        <f t="shared" si="24"/>
        <v>210.64000000000001</v>
      </c>
      <c r="E104" s="3203">
        <f t="shared" si="24"/>
        <v>8.8255575499999992</v>
      </c>
      <c r="F104" s="3203">
        <f t="shared" si="24"/>
        <v>-8.7011563400000007</v>
      </c>
      <c r="G104" s="3203">
        <f t="shared" si="24"/>
        <v>0</v>
      </c>
      <c r="H104" s="3203">
        <f t="shared" si="24"/>
        <v>0</v>
      </c>
      <c r="I104" s="3203">
        <f t="shared" si="24"/>
        <v>0</v>
      </c>
      <c r="J104" s="3203">
        <f t="shared" si="24"/>
        <v>5.1629470900000003</v>
      </c>
      <c r="K104" s="3203">
        <f t="shared" si="24"/>
        <v>215.92734829999998</v>
      </c>
    </row>
    <row r="105" spans="3:12" ht="18.95" customHeight="1" thickBot="1">
      <c r="C105" s="3235" t="s">
        <v>4252</v>
      </c>
      <c r="D105" s="3203">
        <f t="shared" si="24"/>
        <v>510.42</v>
      </c>
      <c r="E105" s="3203">
        <f t="shared" si="24"/>
        <v>47.2864</v>
      </c>
      <c r="F105" s="3203">
        <f t="shared" si="24"/>
        <v>41.522799999999997</v>
      </c>
      <c r="G105" s="3203">
        <f t="shared" si="24"/>
        <v>0</v>
      </c>
      <c r="H105" s="3203">
        <f t="shared" si="24"/>
        <v>0</v>
      </c>
      <c r="I105" s="3203">
        <f t="shared" si="24"/>
        <v>0</v>
      </c>
      <c r="J105" s="3203">
        <f t="shared" si="24"/>
        <v>-599.22919999999999</v>
      </c>
      <c r="K105" s="3203">
        <f t="shared" si="24"/>
        <v>0</v>
      </c>
    </row>
    <row r="106" spans="3:12" ht="18.95" customHeight="1" thickBot="1">
      <c r="C106" s="3235" t="s">
        <v>4253</v>
      </c>
      <c r="D106" s="3203">
        <f t="shared" si="24"/>
        <v>0</v>
      </c>
      <c r="E106" s="3203">
        <f t="shared" si="24"/>
        <v>22.5</v>
      </c>
      <c r="F106" s="3203">
        <f t="shared" si="24"/>
        <v>67.5</v>
      </c>
      <c r="G106" s="3203">
        <f t="shared" si="24"/>
        <v>0</v>
      </c>
      <c r="H106" s="3203">
        <f t="shared" si="24"/>
        <v>0</v>
      </c>
      <c r="I106" s="3203">
        <f t="shared" si="24"/>
        <v>0</v>
      </c>
      <c r="J106" s="3203">
        <f t="shared" si="24"/>
        <v>0</v>
      </c>
      <c r="K106" s="3203">
        <f t="shared" si="24"/>
        <v>90</v>
      </c>
    </row>
    <row r="107" spans="3:12" ht="18.95" customHeight="1" thickBot="1">
      <c r="C107" s="3235" t="s">
        <v>4254</v>
      </c>
      <c r="D107" s="3203">
        <f t="shared" si="24"/>
        <v>17.97</v>
      </c>
      <c r="E107" s="3203">
        <f t="shared" si="24"/>
        <v>124.71694853</v>
      </c>
      <c r="F107" s="3203">
        <f t="shared" si="24"/>
        <v>168.16584219999999</v>
      </c>
      <c r="G107" s="3203">
        <f t="shared" si="24"/>
        <v>0</v>
      </c>
      <c r="H107" s="3203">
        <f t="shared" si="24"/>
        <v>0</v>
      </c>
      <c r="I107" s="3203">
        <f t="shared" si="24"/>
        <v>0</v>
      </c>
      <c r="J107" s="3203">
        <f t="shared" si="24"/>
        <v>2029.7038678900001</v>
      </c>
      <c r="K107" s="3203">
        <f t="shared" si="24"/>
        <v>2340.5566586200002</v>
      </c>
    </row>
    <row r="108" spans="3:12" ht="18.95" customHeight="1" thickBot="1">
      <c r="C108" s="3235" t="s">
        <v>4256</v>
      </c>
      <c r="D108" s="3203">
        <f t="shared" si="24"/>
        <v>645.02</v>
      </c>
      <c r="E108" s="3203">
        <f t="shared" si="24"/>
        <v>65.472160000000002</v>
      </c>
      <c r="F108" s="3203">
        <f t="shared" si="24"/>
        <v>150.44216</v>
      </c>
      <c r="G108" s="3203">
        <f t="shared" si="24"/>
        <v>40.442160000000001</v>
      </c>
      <c r="H108" s="3203">
        <f t="shared" si="24"/>
        <v>40.442160000000001</v>
      </c>
      <c r="I108" s="3203">
        <f t="shared" si="24"/>
        <v>40.442160000000001</v>
      </c>
      <c r="J108" s="3203">
        <f t="shared" si="24"/>
        <v>121.32648</v>
      </c>
      <c r="K108" s="3203">
        <f t="shared" si="24"/>
        <v>1103.5872800000002</v>
      </c>
    </row>
    <row r="110" spans="3:12" ht="18.95" customHeight="1" thickBot="1">
      <c r="G110" s="3195" t="s">
        <v>4283</v>
      </c>
      <c r="H110" s="3195" t="s">
        <v>4284</v>
      </c>
    </row>
    <row r="111" spans="3:12" ht="18.95" customHeight="1" thickBot="1">
      <c r="C111" s="3343" t="s">
        <v>4285</v>
      </c>
      <c r="D111" s="3343" t="s">
        <v>4286</v>
      </c>
      <c r="E111" s="3343" t="s">
        <v>4287</v>
      </c>
      <c r="F111" s="3343" t="s">
        <v>4288</v>
      </c>
      <c r="G111" s="3343" t="s">
        <v>4289</v>
      </c>
      <c r="H111" s="3343"/>
      <c r="I111" s="3343"/>
      <c r="J111" s="3343"/>
      <c r="K111" s="3343"/>
      <c r="L111" s="3343"/>
    </row>
    <row r="112" spans="3:12" ht="18.95" customHeight="1" thickBot="1">
      <c r="C112" s="3343"/>
      <c r="D112" s="3343"/>
      <c r="E112" s="3343"/>
      <c r="F112" s="3343"/>
      <c r="G112" s="3244" t="s">
        <v>4290</v>
      </c>
      <c r="H112" s="3244" t="s">
        <v>4291</v>
      </c>
      <c r="I112" s="3245" t="s">
        <v>4292</v>
      </c>
      <c r="J112" s="3245" t="s">
        <v>4293</v>
      </c>
      <c r="K112" s="3245" t="s">
        <v>4294</v>
      </c>
      <c r="L112" s="3245" t="s">
        <v>4295</v>
      </c>
    </row>
    <row r="113" spans="3:12" ht="18.95" customHeight="1" thickBot="1">
      <c r="C113" s="3214" t="s">
        <v>4296</v>
      </c>
      <c r="D113" s="3221">
        <f>[3]IRR底稿!C10*80%+[3]IRR底稿!C12*60%</f>
        <v>4156.8662101919999</v>
      </c>
      <c r="E113" s="3221">
        <f>K133</f>
        <v>2526.5948120000003</v>
      </c>
      <c r="F113" s="3221" t="e">
        <f t="shared" ref="F113:F122" si="25">SUM(G113:L113)</f>
        <v>#REF!</v>
      </c>
      <c r="G113" s="3221" t="e">
        <f>SUM([3]IRR底稿!CJ10:'[3]IRR底稿'!CU10)*80%+SUM([3]IRR底稿!CJ12:'[3]IRR底稿'!CU12)*60%</f>
        <v>#REF!</v>
      </c>
      <c r="H113" s="3221" t="e">
        <f>SUM([3]IRR底稿!CV10:'[3]IRR底稿'!DG10)*80%+SUM([3]IRR底稿!CV12:'[3]IRR底稿'!DG12)*60%</f>
        <v>#REF!</v>
      </c>
      <c r="I113" s="3219">
        <v>0</v>
      </c>
      <c r="J113" s="3219">
        <v>0</v>
      </c>
      <c r="K113" s="3219">
        <v>0</v>
      </c>
      <c r="L113" s="3246" t="e">
        <f t="shared" ref="L113:L122" si="26">D113-E113-G113-H113</f>
        <v>#REF!</v>
      </c>
    </row>
    <row r="114" spans="3:12" ht="18.95" customHeight="1" thickBot="1">
      <c r="C114" s="3218" t="s">
        <v>4297</v>
      </c>
      <c r="D114" s="3221">
        <f>[3]IRR底稿!C12*80%</f>
        <v>2358.6285199999998</v>
      </c>
      <c r="E114" s="3221">
        <f>K129</f>
        <v>2203.2670279999998</v>
      </c>
      <c r="F114" s="3221">
        <f t="shared" si="25"/>
        <v>155.361492</v>
      </c>
      <c r="G114" s="3221">
        <v>0</v>
      </c>
      <c r="H114" s="3221">
        <v>0</v>
      </c>
      <c r="I114" s="3219">
        <v>0</v>
      </c>
      <c r="J114" s="3219">
        <v>0</v>
      </c>
      <c r="K114" s="3219">
        <v>0</v>
      </c>
      <c r="L114" s="3246">
        <f t="shared" si="26"/>
        <v>155.361492</v>
      </c>
    </row>
    <row r="115" spans="3:12" ht="18.95" customHeight="1" thickBot="1">
      <c r="C115" s="3218" t="s">
        <v>4298</v>
      </c>
      <c r="D115" s="3221">
        <f t="shared" ref="D115:H115" si="27">D113-D114</f>
        <v>1798.2376901920002</v>
      </c>
      <c r="E115" s="3221">
        <f t="shared" si="27"/>
        <v>323.32778400000052</v>
      </c>
      <c r="F115" s="3221" t="e">
        <f t="shared" si="25"/>
        <v>#REF!</v>
      </c>
      <c r="G115" s="3221" t="e">
        <f t="shared" si="27"/>
        <v>#REF!</v>
      </c>
      <c r="H115" s="3221" t="e">
        <f t="shared" si="27"/>
        <v>#REF!</v>
      </c>
      <c r="I115" s="3219">
        <v>0</v>
      </c>
      <c r="J115" s="3219">
        <v>0</v>
      </c>
      <c r="K115" s="3219">
        <v>0</v>
      </c>
      <c r="L115" s="3246" t="e">
        <f t="shared" si="26"/>
        <v>#REF!</v>
      </c>
    </row>
    <row r="116" spans="3:12" ht="18.95" customHeight="1" thickBot="1">
      <c r="C116" s="3214" t="s">
        <v>4299</v>
      </c>
      <c r="D116" s="3221">
        <f>[3]IRR底稿!C10*20%+[3]IRR底稿!C12*10%</f>
        <v>891.80227004800008</v>
      </c>
      <c r="E116" s="3221">
        <f>K150</f>
        <v>220.14134300000001</v>
      </c>
      <c r="F116" s="3221" t="e">
        <f t="shared" si="25"/>
        <v>#REF!</v>
      </c>
      <c r="G116" s="3221" t="e">
        <f>SUM([3]IRR底稿!CJ10:'[3]IRR底稿'!CU10)*20%+SUM([3]IRR底稿!CJ12:'[3]IRR底稿'!CU12)*10%</f>
        <v>#REF!</v>
      </c>
      <c r="H116" s="3221" t="e">
        <f>SUM([3]IRR底稿!CV10:'[3]IRR底稿'!DG10)*20%+SUM([3]IRR底稿!CV12:'[3]IRR底稿'!DG12)*10%</f>
        <v>#REF!</v>
      </c>
      <c r="I116" s="3219">
        <v>0</v>
      </c>
      <c r="J116" s="3219">
        <v>0</v>
      </c>
      <c r="K116" s="3219">
        <v>0</v>
      </c>
      <c r="L116" s="3246" t="e">
        <f t="shared" si="26"/>
        <v>#REF!</v>
      </c>
    </row>
    <row r="117" spans="3:12" ht="18.95" customHeight="1" thickBot="1">
      <c r="C117" s="3218" t="s">
        <v>4297</v>
      </c>
      <c r="D117" s="3221">
        <f>+[3]IRR底稿!C12*5%</f>
        <v>147.41428249999998</v>
      </c>
      <c r="E117" s="3221">
        <f>K146</f>
        <v>65.378775000000005</v>
      </c>
      <c r="F117" s="3221">
        <f t="shared" si="25"/>
        <v>82.03550749999998</v>
      </c>
      <c r="G117" s="3221">
        <v>0</v>
      </c>
      <c r="H117" s="3221">
        <v>0</v>
      </c>
      <c r="I117" s="3219">
        <v>0</v>
      </c>
      <c r="J117" s="3219">
        <v>0</v>
      </c>
      <c r="K117" s="3219">
        <v>0</v>
      </c>
      <c r="L117" s="3246">
        <f t="shared" si="26"/>
        <v>82.03550749999998</v>
      </c>
    </row>
    <row r="118" spans="3:12" ht="18.95" customHeight="1" thickBot="1">
      <c r="C118" s="3218" t="s">
        <v>4298</v>
      </c>
      <c r="D118" s="3221">
        <f t="shared" ref="D118:H118" si="28">D116-D117</f>
        <v>744.38798754800007</v>
      </c>
      <c r="E118" s="3221">
        <f t="shared" si="28"/>
        <v>154.76256799999999</v>
      </c>
      <c r="F118" s="3221" t="e">
        <f t="shared" si="25"/>
        <v>#REF!</v>
      </c>
      <c r="G118" s="3221" t="e">
        <f t="shared" si="28"/>
        <v>#REF!</v>
      </c>
      <c r="H118" s="3221" t="e">
        <f t="shared" si="28"/>
        <v>#REF!</v>
      </c>
      <c r="I118" s="3219">
        <v>0</v>
      </c>
      <c r="J118" s="3219">
        <v>0</v>
      </c>
      <c r="K118" s="3219">
        <v>0</v>
      </c>
      <c r="L118" s="3246" t="e">
        <f t="shared" si="26"/>
        <v>#REF!</v>
      </c>
    </row>
    <row r="119" spans="3:12" ht="18.95" customHeight="1" thickBot="1">
      <c r="C119" s="3214" t="s">
        <v>4300</v>
      </c>
      <c r="D119" s="3221">
        <f>[3]IRR底稿!C11+[3]IRR底稿!C12*30%</f>
        <v>4861.1456950000002</v>
      </c>
      <c r="E119" s="3221">
        <f>K142</f>
        <v>3840.2402999999999</v>
      </c>
      <c r="F119" s="3221" t="e">
        <f t="shared" si="25"/>
        <v>#REF!</v>
      </c>
      <c r="G119" s="3221" t="e">
        <f>SUM([3]IRR底稿!CJ11:'[3]IRR底稿'!CU11)+SUM([3]IRR底稿!CJ12:'[3]IRR底稿'!CU12)*30%</f>
        <v>#REF!</v>
      </c>
      <c r="H119" s="3221" t="e">
        <f>SUM([3]IRR底稿!CV11:'[3]IRR底稿'!DG11)+SUM([3]IRR底稿!CV12:'[3]IRR底稿'!DG12)*30%</f>
        <v>#REF!</v>
      </c>
      <c r="I119" s="3219">
        <v>0</v>
      </c>
      <c r="J119" s="3219">
        <v>0</v>
      </c>
      <c r="K119" s="3219">
        <v>0</v>
      </c>
      <c r="L119" s="3246" t="e">
        <f t="shared" si="26"/>
        <v>#REF!</v>
      </c>
    </row>
    <row r="120" spans="3:12" ht="18.95" customHeight="1" thickBot="1">
      <c r="C120" s="3218" t="s">
        <v>4297</v>
      </c>
      <c r="D120" s="3221">
        <f>[3]IRR底稿!C12*15%</f>
        <v>442.24284749999998</v>
      </c>
      <c r="E120" s="3221">
        <f>K137</f>
        <v>404.70432299999999</v>
      </c>
      <c r="F120" s="3221">
        <f t="shared" si="25"/>
        <v>37.538524499999994</v>
      </c>
      <c r="G120" s="3221">
        <v>0</v>
      </c>
      <c r="H120" s="3221">
        <v>0</v>
      </c>
      <c r="I120" s="3219">
        <v>0</v>
      </c>
      <c r="J120" s="3219">
        <v>0</v>
      </c>
      <c r="K120" s="3219">
        <v>0</v>
      </c>
      <c r="L120" s="3246">
        <f t="shared" si="26"/>
        <v>37.538524499999994</v>
      </c>
    </row>
    <row r="121" spans="3:12" ht="18.95" customHeight="1" thickBot="1">
      <c r="C121" s="3218" t="s">
        <v>4298</v>
      </c>
      <c r="D121" s="3221">
        <f t="shared" ref="D121:H121" si="29">D119-D120</f>
        <v>4418.9028475000005</v>
      </c>
      <c r="E121" s="3221">
        <f t="shared" si="29"/>
        <v>3435.535977</v>
      </c>
      <c r="F121" s="3221" t="e">
        <f t="shared" si="25"/>
        <v>#REF!</v>
      </c>
      <c r="G121" s="3221" t="e">
        <f t="shared" si="29"/>
        <v>#REF!</v>
      </c>
      <c r="H121" s="3221" t="e">
        <f t="shared" si="29"/>
        <v>#REF!</v>
      </c>
      <c r="I121" s="3219">
        <v>0</v>
      </c>
      <c r="J121" s="3219">
        <v>0</v>
      </c>
      <c r="K121" s="3219">
        <v>0</v>
      </c>
      <c r="L121" s="3246" t="e">
        <f t="shared" si="26"/>
        <v>#REF!</v>
      </c>
    </row>
    <row r="122" spans="3:12" ht="18.95" customHeight="1" thickBot="1">
      <c r="C122" s="3214" t="s">
        <v>4301</v>
      </c>
      <c r="D122" s="3221">
        <f t="shared" ref="D122:H122" si="30">D114+D117+D120</f>
        <v>2948.2856499999998</v>
      </c>
      <c r="E122" s="3221">
        <f t="shared" si="30"/>
        <v>2673.3501259999998</v>
      </c>
      <c r="F122" s="3221">
        <f t="shared" si="25"/>
        <v>274.93552399999999</v>
      </c>
      <c r="G122" s="3221">
        <f t="shared" si="30"/>
        <v>0</v>
      </c>
      <c r="H122" s="3221">
        <f t="shared" si="30"/>
        <v>0</v>
      </c>
      <c r="I122" s="3219">
        <v>0</v>
      </c>
      <c r="J122" s="3219">
        <v>0</v>
      </c>
      <c r="K122" s="3219">
        <v>0</v>
      </c>
      <c r="L122" s="3246">
        <f t="shared" si="26"/>
        <v>274.93552399999999</v>
      </c>
    </row>
    <row r="126" spans="3:12" ht="18.95" customHeight="1">
      <c r="C126" s="3344" t="s">
        <v>4302</v>
      </c>
      <c r="D126" s="3344" t="s">
        <v>4303</v>
      </c>
      <c r="E126" s="3247" t="s">
        <v>4304</v>
      </c>
      <c r="F126" s="3247" t="s">
        <v>4305</v>
      </c>
      <c r="G126" s="3247" t="s">
        <v>3788</v>
      </c>
      <c r="I126" s="3247" t="s">
        <v>4304</v>
      </c>
      <c r="J126" s="3247" t="s">
        <v>4305</v>
      </c>
      <c r="K126" s="3247" t="s">
        <v>3788</v>
      </c>
    </row>
    <row r="127" spans="3:12" ht="18.95" customHeight="1">
      <c r="C127" s="3344"/>
      <c r="D127" s="3344"/>
      <c r="E127" s="3247" t="s">
        <v>4306</v>
      </c>
      <c r="F127" s="3247" t="s">
        <v>4306</v>
      </c>
      <c r="G127" s="3247" t="s">
        <v>4306</v>
      </c>
      <c r="I127" s="3247" t="s">
        <v>4306</v>
      </c>
      <c r="J127" s="3247" t="s">
        <v>4306</v>
      </c>
      <c r="K127" s="3247" t="s">
        <v>4306</v>
      </c>
      <c r="L127" s="3180"/>
    </row>
    <row r="128" spans="3:12" ht="18.95" customHeight="1">
      <c r="C128" s="3248" t="s">
        <v>4307</v>
      </c>
      <c r="D128" s="3248" t="s">
        <v>4308</v>
      </c>
      <c r="E128" s="3249"/>
      <c r="F128" s="3249"/>
      <c r="G128" s="3249">
        <f t="shared" ref="G128:G150" si="31">F128+E128</f>
        <v>0</v>
      </c>
      <c r="I128" s="3249">
        <f t="shared" ref="I128:K133" si="32">E128/10000</f>
        <v>0</v>
      </c>
      <c r="J128" s="3249">
        <f t="shared" si="32"/>
        <v>0</v>
      </c>
      <c r="K128" s="3249">
        <f t="shared" si="32"/>
        <v>0</v>
      </c>
      <c r="L128" s="3180"/>
    </row>
    <row r="129" spans="3:12" ht="18.95" customHeight="1">
      <c r="C129" s="3248" t="s">
        <v>4309</v>
      </c>
      <c r="D129" s="3248" t="s">
        <v>4310</v>
      </c>
      <c r="E129" s="3249">
        <v>21777708.079999998</v>
      </c>
      <c r="F129" s="3249">
        <v>254962.2</v>
      </c>
      <c r="G129" s="3249">
        <f t="shared" si="31"/>
        <v>22032670.279999997</v>
      </c>
      <c r="I129" s="3249">
        <f t="shared" si="32"/>
        <v>2177.7708079999998</v>
      </c>
      <c r="J129" s="3249">
        <f t="shared" si="32"/>
        <v>25.496220000000001</v>
      </c>
      <c r="K129" s="3249">
        <f t="shared" si="32"/>
        <v>2203.2670279999998</v>
      </c>
      <c r="L129" s="3180"/>
    </row>
    <row r="130" spans="3:12" ht="18.95" customHeight="1">
      <c r="C130" s="3248" t="s">
        <v>4311</v>
      </c>
      <c r="D130" s="3248" t="s">
        <v>4312</v>
      </c>
      <c r="E130" s="3249">
        <v>2279263.41</v>
      </c>
      <c r="F130" s="3249">
        <v>409931.42</v>
      </c>
      <c r="G130" s="3249">
        <f t="shared" si="31"/>
        <v>2689194.83</v>
      </c>
      <c r="I130" s="3249">
        <f t="shared" si="32"/>
        <v>227.92634100000001</v>
      </c>
      <c r="J130" s="3249">
        <f t="shared" si="32"/>
        <v>40.993141999999999</v>
      </c>
      <c r="K130" s="3249">
        <f t="shared" si="32"/>
        <v>268.91948300000001</v>
      </c>
      <c r="L130" s="3180"/>
    </row>
    <row r="131" spans="3:12" ht="18.95" customHeight="1">
      <c r="C131" s="3248" t="s">
        <v>4313</v>
      </c>
      <c r="D131" s="3248" t="s">
        <v>4314</v>
      </c>
      <c r="E131" s="3249">
        <v>544083.01</v>
      </c>
      <c r="F131" s="3249"/>
      <c r="G131" s="3249">
        <f t="shared" si="31"/>
        <v>544083.01</v>
      </c>
      <c r="I131" s="3249">
        <f t="shared" si="32"/>
        <v>54.408301000000002</v>
      </c>
      <c r="J131" s="3249">
        <f t="shared" si="32"/>
        <v>0</v>
      </c>
      <c r="K131" s="3249">
        <f t="shared" si="32"/>
        <v>54.408301000000002</v>
      </c>
      <c r="L131" s="3180"/>
    </row>
    <row r="132" spans="3:12" ht="18.95" customHeight="1">
      <c r="C132" s="3248" t="s">
        <v>4315</v>
      </c>
      <c r="D132" s="3248" t="s">
        <v>4316</v>
      </c>
      <c r="E132" s="3249"/>
      <c r="F132" s="3249"/>
      <c r="G132" s="3249">
        <f t="shared" si="31"/>
        <v>0</v>
      </c>
      <c r="I132" s="3249">
        <f t="shared" si="32"/>
        <v>0</v>
      </c>
      <c r="J132" s="3249">
        <f t="shared" si="32"/>
        <v>0</v>
      </c>
      <c r="K132" s="3249">
        <f t="shared" si="32"/>
        <v>0</v>
      </c>
      <c r="L132" s="3180"/>
    </row>
    <row r="133" spans="3:12" ht="18.95" customHeight="1">
      <c r="C133" s="3250"/>
      <c r="D133" s="3250" t="s">
        <v>3788</v>
      </c>
      <c r="E133" s="3251">
        <f>SUM(E129:E132)</f>
        <v>24601054.5</v>
      </c>
      <c r="F133" s="3251">
        <f>SUM(F129:F132)</f>
        <v>664893.62</v>
      </c>
      <c r="G133" s="3251">
        <f t="shared" si="31"/>
        <v>25265948.120000001</v>
      </c>
      <c r="I133" s="3251">
        <f t="shared" si="32"/>
        <v>2460.10545</v>
      </c>
      <c r="J133" s="3251">
        <f t="shared" si="32"/>
        <v>66.489362</v>
      </c>
      <c r="K133" s="3251">
        <f t="shared" si="32"/>
        <v>2526.5948120000003</v>
      </c>
      <c r="L133" s="3180"/>
    </row>
    <row r="134" spans="3:12" ht="18.95" customHeight="1">
      <c r="C134" s="3344" t="s">
        <v>4302</v>
      </c>
      <c r="D134" s="3344" t="s">
        <v>4303</v>
      </c>
      <c r="E134" s="3247" t="s">
        <v>4304</v>
      </c>
      <c r="F134" s="3247" t="s">
        <v>4305</v>
      </c>
      <c r="G134" s="3247" t="s">
        <v>3788</v>
      </c>
      <c r="I134" s="3247" t="s">
        <v>4304</v>
      </c>
      <c r="J134" s="3247" t="s">
        <v>4305</v>
      </c>
      <c r="K134" s="3247" t="s">
        <v>3788</v>
      </c>
    </row>
    <row r="135" spans="3:12" ht="18.95" customHeight="1">
      <c r="C135" s="3344"/>
      <c r="D135" s="3344"/>
      <c r="E135" s="3247" t="s">
        <v>4306</v>
      </c>
      <c r="F135" s="3247" t="s">
        <v>4306</v>
      </c>
      <c r="G135" s="3247" t="s">
        <v>4306</v>
      </c>
      <c r="I135" s="3247" t="s">
        <v>4306</v>
      </c>
      <c r="J135" s="3247" t="s">
        <v>4306</v>
      </c>
      <c r="K135" s="3247" t="s">
        <v>4306</v>
      </c>
    </row>
    <row r="136" spans="3:12" ht="18.95" customHeight="1">
      <c r="C136" s="3248" t="s">
        <v>4317</v>
      </c>
      <c r="D136" s="3248" t="s">
        <v>4318</v>
      </c>
      <c r="E136" s="3249"/>
      <c r="F136" s="3249"/>
      <c r="G136" s="3249">
        <f t="shared" si="31"/>
        <v>0</v>
      </c>
      <c r="I136" s="3249">
        <f t="shared" ref="I136:K142" si="33">E136/10000</f>
        <v>0</v>
      </c>
      <c r="J136" s="3249">
        <f t="shared" si="33"/>
        <v>0</v>
      </c>
      <c r="K136" s="3249">
        <f t="shared" si="33"/>
        <v>0</v>
      </c>
    </row>
    <row r="137" spans="3:12" ht="18.95" customHeight="1">
      <c r="C137" s="3248" t="s">
        <v>4319</v>
      </c>
      <c r="D137" s="3248" t="s">
        <v>4320</v>
      </c>
      <c r="E137" s="3249">
        <v>4043476.19</v>
      </c>
      <c r="F137" s="3249">
        <v>3567.04</v>
      </c>
      <c r="G137" s="3249">
        <f t="shared" si="31"/>
        <v>4047043.23</v>
      </c>
      <c r="I137" s="3249">
        <f t="shared" si="33"/>
        <v>404.34761900000001</v>
      </c>
      <c r="J137" s="3249">
        <f t="shared" si="33"/>
        <v>0.35670400000000002</v>
      </c>
      <c r="K137" s="3249">
        <f t="shared" si="33"/>
        <v>404.70432299999999</v>
      </c>
    </row>
    <row r="138" spans="3:12" ht="18.95" customHeight="1">
      <c r="C138" s="3248" t="s">
        <v>4321</v>
      </c>
      <c r="D138" s="3248" t="s">
        <v>4322</v>
      </c>
      <c r="E138" s="3249">
        <v>1304318.5900000001</v>
      </c>
      <c r="F138" s="3249">
        <v>41374.269999999997</v>
      </c>
      <c r="G138" s="3249">
        <f t="shared" si="31"/>
        <v>1345692.86</v>
      </c>
      <c r="I138" s="3249">
        <f t="shared" si="33"/>
        <v>130.431859</v>
      </c>
      <c r="J138" s="3249">
        <f t="shared" si="33"/>
        <v>4.1374269999999997</v>
      </c>
      <c r="K138" s="3249">
        <f t="shared" si="33"/>
        <v>134.56928600000001</v>
      </c>
    </row>
    <row r="139" spans="3:12" ht="18.95" customHeight="1">
      <c r="C139" s="3248" t="s">
        <v>4323</v>
      </c>
      <c r="D139" s="3248" t="s">
        <v>4324</v>
      </c>
      <c r="E139" s="3249">
        <v>31204325.93</v>
      </c>
      <c r="F139" s="3249"/>
      <c r="G139" s="3249">
        <f t="shared" si="31"/>
        <v>31204325.93</v>
      </c>
      <c r="I139" s="3249">
        <f t="shared" si="33"/>
        <v>3120.432593</v>
      </c>
      <c r="J139" s="3249">
        <f t="shared" si="33"/>
        <v>0</v>
      </c>
      <c r="K139" s="3249">
        <f t="shared" si="33"/>
        <v>3120.432593</v>
      </c>
    </row>
    <row r="140" spans="3:12" ht="18.95" customHeight="1">
      <c r="C140" s="3248" t="s">
        <v>4325</v>
      </c>
      <c r="D140" s="3248" t="s">
        <v>4326</v>
      </c>
      <c r="E140" s="3249">
        <v>1783158.05</v>
      </c>
      <c r="F140" s="3249"/>
      <c r="G140" s="3249">
        <f t="shared" si="31"/>
        <v>1783158.05</v>
      </c>
      <c r="I140" s="3249">
        <f t="shared" si="33"/>
        <v>178.31580500000001</v>
      </c>
      <c r="J140" s="3249">
        <f t="shared" si="33"/>
        <v>0</v>
      </c>
      <c r="K140" s="3249">
        <f t="shared" si="33"/>
        <v>178.31580500000001</v>
      </c>
    </row>
    <row r="141" spans="3:12" ht="18.95" customHeight="1">
      <c r="C141" s="3248" t="s">
        <v>4327</v>
      </c>
      <c r="D141" s="3248" t="s">
        <v>4328</v>
      </c>
      <c r="E141" s="3249">
        <v>22182.93</v>
      </c>
      <c r="F141" s="3249"/>
      <c r="G141" s="3249">
        <f t="shared" si="31"/>
        <v>22182.93</v>
      </c>
      <c r="I141" s="3249">
        <f t="shared" si="33"/>
        <v>2.2182930000000001</v>
      </c>
      <c r="J141" s="3249">
        <f t="shared" si="33"/>
        <v>0</v>
      </c>
      <c r="K141" s="3249">
        <f t="shared" si="33"/>
        <v>2.2182930000000001</v>
      </c>
    </row>
    <row r="142" spans="3:12" ht="18.95" customHeight="1">
      <c r="C142" s="3250"/>
      <c r="D142" s="3250" t="s">
        <v>3788</v>
      </c>
      <c r="E142" s="3251">
        <f>SUM(E137:E141)</f>
        <v>38357461.689999998</v>
      </c>
      <c r="F142" s="3251">
        <f>SUM(F137:F141)</f>
        <v>44941.31</v>
      </c>
      <c r="G142" s="3251">
        <f t="shared" si="31"/>
        <v>38402403</v>
      </c>
      <c r="I142" s="3251">
        <f t="shared" si="33"/>
        <v>3835.7461689999996</v>
      </c>
      <c r="J142" s="3251">
        <f t="shared" si="33"/>
        <v>4.4941309999999994</v>
      </c>
      <c r="K142" s="3251">
        <f t="shared" si="33"/>
        <v>3840.2402999999999</v>
      </c>
    </row>
    <row r="143" spans="3:12" ht="18.95" customHeight="1">
      <c r="C143" s="3344" t="s">
        <v>4302</v>
      </c>
      <c r="D143" s="3344" t="s">
        <v>4303</v>
      </c>
      <c r="E143" s="3247" t="s">
        <v>4304</v>
      </c>
      <c r="F143" s="3247" t="s">
        <v>4305</v>
      </c>
      <c r="G143" s="3247" t="s">
        <v>3788</v>
      </c>
      <c r="I143" s="3247" t="s">
        <v>4304</v>
      </c>
      <c r="J143" s="3247" t="s">
        <v>4305</v>
      </c>
      <c r="K143" s="3247" t="s">
        <v>3788</v>
      </c>
    </row>
    <row r="144" spans="3:12" ht="18.95" customHeight="1">
      <c r="C144" s="3344"/>
      <c r="D144" s="3344"/>
      <c r="E144" s="3247" t="s">
        <v>4306</v>
      </c>
      <c r="F144" s="3247" t="s">
        <v>4306</v>
      </c>
      <c r="G144" s="3247" t="s">
        <v>4306</v>
      </c>
      <c r="I144" s="3247" t="s">
        <v>4306</v>
      </c>
      <c r="J144" s="3247" t="s">
        <v>4306</v>
      </c>
      <c r="K144" s="3247" t="s">
        <v>4306</v>
      </c>
    </row>
    <row r="145" spans="2:18" ht="18.95" customHeight="1">
      <c r="C145" s="3248" t="s">
        <v>4329</v>
      </c>
      <c r="D145" s="3248" t="s">
        <v>4330</v>
      </c>
      <c r="E145" s="3249"/>
      <c r="F145" s="3249"/>
      <c r="G145" s="3249">
        <f t="shared" si="31"/>
        <v>0</v>
      </c>
      <c r="I145" s="3249">
        <f t="shared" ref="I145:K150" si="34">E145/10000</f>
        <v>0</v>
      </c>
      <c r="J145" s="3249">
        <f t="shared" si="34"/>
        <v>0</v>
      </c>
      <c r="K145" s="3249">
        <f t="shared" si="34"/>
        <v>0</v>
      </c>
    </row>
    <row r="146" spans="2:18" ht="18.95" customHeight="1">
      <c r="C146" s="3248" t="s">
        <v>4331</v>
      </c>
      <c r="D146" s="3248" t="s">
        <v>4332</v>
      </c>
      <c r="E146" s="3249">
        <v>653787.75</v>
      </c>
      <c r="F146" s="3249"/>
      <c r="G146" s="3249">
        <f t="shared" si="31"/>
        <v>653787.75</v>
      </c>
      <c r="I146" s="3249">
        <f t="shared" si="34"/>
        <v>65.378775000000005</v>
      </c>
      <c r="J146" s="3249">
        <f t="shared" si="34"/>
        <v>0</v>
      </c>
      <c r="K146" s="3249">
        <f t="shared" si="34"/>
        <v>65.378775000000005</v>
      </c>
    </row>
    <row r="147" spans="2:18" ht="18.95" customHeight="1">
      <c r="C147" s="3248" t="s">
        <v>4333</v>
      </c>
      <c r="D147" s="3248" t="s">
        <v>4334</v>
      </c>
      <c r="E147" s="3249">
        <v>1166590.74</v>
      </c>
      <c r="F147" s="3249">
        <v>322132.44</v>
      </c>
      <c r="G147" s="3249">
        <f t="shared" si="31"/>
        <v>1488723.18</v>
      </c>
      <c r="I147" s="3249">
        <f t="shared" si="34"/>
        <v>116.659074</v>
      </c>
      <c r="J147" s="3249">
        <f t="shared" si="34"/>
        <v>32.213244000000003</v>
      </c>
      <c r="K147" s="3249">
        <f t="shared" si="34"/>
        <v>148.87231800000001</v>
      </c>
    </row>
    <row r="148" spans="2:18" ht="18.95" customHeight="1">
      <c r="C148" s="3248" t="s">
        <v>4335</v>
      </c>
      <c r="D148" s="3248" t="s">
        <v>4336</v>
      </c>
      <c r="E148" s="3249">
        <v>50633.47</v>
      </c>
      <c r="F148" s="3249"/>
      <c r="G148" s="3249">
        <f t="shared" si="31"/>
        <v>50633.47</v>
      </c>
      <c r="I148" s="3249">
        <f t="shared" si="34"/>
        <v>5.0633470000000003</v>
      </c>
      <c r="J148" s="3249">
        <f t="shared" si="34"/>
        <v>0</v>
      </c>
      <c r="K148" s="3249">
        <f t="shared" si="34"/>
        <v>5.0633470000000003</v>
      </c>
    </row>
    <row r="149" spans="2:18" ht="18.95" customHeight="1">
      <c r="C149" s="3248" t="s">
        <v>4337</v>
      </c>
      <c r="D149" s="3248" t="s">
        <v>4338</v>
      </c>
      <c r="E149" s="3249">
        <v>8269.0300000000007</v>
      </c>
      <c r="F149" s="3249"/>
      <c r="G149" s="3249">
        <f t="shared" si="31"/>
        <v>8269.0300000000007</v>
      </c>
      <c r="I149" s="3249">
        <f t="shared" si="34"/>
        <v>0.82690300000000005</v>
      </c>
      <c r="J149" s="3249">
        <f t="shared" si="34"/>
        <v>0</v>
      </c>
      <c r="K149" s="3249">
        <f t="shared" si="34"/>
        <v>0.82690300000000005</v>
      </c>
    </row>
    <row r="150" spans="2:18" ht="18.95" customHeight="1">
      <c r="C150" s="3250"/>
      <c r="D150" s="3250" t="s">
        <v>3788</v>
      </c>
      <c r="E150" s="3251">
        <f>SUM(E145:E149)</f>
        <v>1879280.99</v>
      </c>
      <c r="F150" s="3251">
        <f>SUM(F145:F149)</f>
        <v>322132.44</v>
      </c>
      <c r="G150" s="3251">
        <f t="shared" si="31"/>
        <v>2201413.4300000002</v>
      </c>
      <c r="I150" s="3251">
        <f t="shared" si="34"/>
        <v>187.928099</v>
      </c>
      <c r="J150" s="3251">
        <f t="shared" si="34"/>
        <v>32.213244000000003</v>
      </c>
      <c r="K150" s="3251">
        <f t="shared" si="34"/>
        <v>220.14134300000001</v>
      </c>
    </row>
    <row r="155" spans="2:18" ht="18.95" customHeight="1" thickBot="1">
      <c r="C155" s="3252" t="s">
        <v>4339</v>
      </c>
      <c r="D155" s="3252" t="s">
        <v>4340</v>
      </c>
      <c r="E155" s="3253" t="s">
        <v>4341</v>
      </c>
      <c r="F155" s="3254">
        <v>2017</v>
      </c>
      <c r="G155" s="3254">
        <v>2018</v>
      </c>
      <c r="H155" s="3254">
        <v>2019</v>
      </c>
      <c r="I155" s="3254">
        <v>2020</v>
      </c>
      <c r="J155" s="3254">
        <v>2021</v>
      </c>
      <c r="K155" s="3254">
        <v>2022</v>
      </c>
      <c r="L155" s="3254">
        <v>2023</v>
      </c>
      <c r="M155" s="3254">
        <v>2024</v>
      </c>
      <c r="N155" s="3254">
        <v>2025</v>
      </c>
      <c r="O155" s="3254">
        <v>2026</v>
      </c>
      <c r="P155" s="3254">
        <v>2027</v>
      </c>
      <c r="Q155" s="3254">
        <v>2028</v>
      </c>
      <c r="R155" s="3254">
        <v>2029</v>
      </c>
    </row>
    <row r="156" spans="2:18" ht="18.95" customHeight="1" thickBot="1">
      <c r="B156" s="3180">
        <v>3</v>
      </c>
      <c r="C156" s="3255">
        <v>1</v>
      </c>
      <c r="D156" s="3255" t="s">
        <v>4342</v>
      </c>
      <c r="E156" s="3256">
        <f t="shared" ref="E156:E168" si="35">SUM(F156:R156)</f>
        <v>115815.428</v>
      </c>
      <c r="F156" s="3256">
        <f>SUM([3]IRR底稿!D3:O3)</f>
        <v>0</v>
      </c>
      <c r="G156" s="3256">
        <f>SUM([3]IRR底稿!P3:AA3)</f>
        <v>0.04</v>
      </c>
      <c r="H156" s="3256">
        <f>SUM([3]IRR底稿!AB3:AM3)</f>
        <v>-64.779999999999973</v>
      </c>
      <c r="I156" s="3256">
        <f>SUM([3]IRR底稿!AN3:AY3)</f>
        <v>13813.329999999998</v>
      </c>
      <c r="J156" s="3256">
        <f>SUM([3]IRR底稿!AZ3:BK3)</f>
        <v>10159.450000000001</v>
      </c>
      <c r="K156" s="3256">
        <f>SUM([3]IRR底稿!BL3:BW3)</f>
        <v>3663.2400000000002</v>
      </c>
      <c r="L156" s="3256">
        <f>SUM([3]IRR底稿!BX3:CI3)</f>
        <v>-1486.8299999999997</v>
      </c>
      <c r="M156" s="3256">
        <f>SUM([3]IRR底稿!CJ3:CU3)</f>
        <v>4464.0400000000009</v>
      </c>
      <c r="N156" s="3256">
        <f>SUM([3]IRR底稿!CV3:DG3)</f>
        <v>5453.9971999999998</v>
      </c>
      <c r="O156" s="3256">
        <f>SUM([3]IRR底稿!DH3:DS3)</f>
        <v>0</v>
      </c>
      <c r="P156" s="3256">
        <f>SUM([3]IRR底稿!DT3:EE3)</f>
        <v>0</v>
      </c>
      <c r="Q156" s="3256">
        <f>SUM([3]IRR底稿!EF3:EQ3)</f>
        <v>0</v>
      </c>
      <c r="R156" s="3256">
        <f>SUM([3]IRR底稿!ES3:FD3)</f>
        <v>79812.940799999997</v>
      </c>
    </row>
    <row r="157" spans="2:18" ht="18.95" customHeight="1" thickBot="1">
      <c r="B157" s="3180">
        <v>4</v>
      </c>
      <c r="C157" s="3257">
        <v>1.1000000000000001</v>
      </c>
      <c r="D157" s="3257" t="s">
        <v>4343</v>
      </c>
      <c r="E157" s="3256">
        <f t="shared" si="35"/>
        <v>115057.158</v>
      </c>
      <c r="F157" s="3256">
        <f>SUM([3]IRR底稿!D4:O4)</f>
        <v>0</v>
      </c>
      <c r="G157" s="3256">
        <f>SUM([3]IRR底稿!P4:AA4)</f>
        <v>0</v>
      </c>
      <c r="H157" s="3256">
        <f>SUM([3]IRR底稿!AB4:AM4)</f>
        <v>385.48</v>
      </c>
      <c r="I157" s="3256">
        <f>SUM([3]IRR底稿!AN4:AY4)</f>
        <v>13801.06</v>
      </c>
      <c r="J157" s="3256">
        <f>SUM([3]IRR底稿!AZ4:BK4)</f>
        <v>8976.9500000000007</v>
      </c>
      <c r="K157" s="3256">
        <f>SUM([3]IRR底稿!BL4:BW4)</f>
        <v>3670.07</v>
      </c>
      <c r="L157" s="3256">
        <f>SUM([3]IRR底稿!BX4:CI4)</f>
        <v>-1507.38</v>
      </c>
      <c r="M157" s="3256">
        <f>SUM([3]IRR底稿!CJ4:CU4)</f>
        <v>4464.0400000000009</v>
      </c>
      <c r="N157" s="3256">
        <f>SUM([3]IRR底稿!CV4:DG4)</f>
        <v>5453.9971999999998</v>
      </c>
      <c r="O157" s="3256">
        <f>SUM([3]IRR底稿!DH4:DS4)</f>
        <v>0</v>
      </c>
      <c r="P157" s="3256">
        <f>SUM([3]IRR底稿!DT4:EE4)</f>
        <v>0</v>
      </c>
      <c r="Q157" s="3256">
        <f>SUM([3]IRR底稿!EF4:EQ4)</f>
        <v>0</v>
      </c>
      <c r="R157" s="3256">
        <f>SUM([3]IRR底稿!ES4:FD4)</f>
        <v>79812.940799999997</v>
      </c>
    </row>
    <row r="158" spans="2:18" ht="18.95" customHeight="1" thickBot="1">
      <c r="B158" s="3180">
        <v>5</v>
      </c>
      <c r="C158" s="3257">
        <v>1.2</v>
      </c>
      <c r="D158" s="3257" t="s">
        <v>4344</v>
      </c>
      <c r="E158" s="3256">
        <f t="shared" si="35"/>
        <v>607.05000000000018</v>
      </c>
      <c r="F158" s="3256">
        <f>SUM([3]IRR底稿!D5:O5)</f>
        <v>0</v>
      </c>
      <c r="G158" s="3256">
        <f>SUM([3]IRR底稿!P5:AA5)</f>
        <v>0</v>
      </c>
      <c r="H158" s="3256">
        <f>SUM([3]IRR底稿!AB5:AM5)</f>
        <v>0</v>
      </c>
      <c r="I158" s="3256">
        <f>SUM([3]IRR底稿!AN5:AY5)</f>
        <v>0</v>
      </c>
      <c r="J158" s="3256">
        <f>SUM([3]IRR底稿!AZ5:BK5)</f>
        <v>595.23</v>
      </c>
      <c r="K158" s="3256">
        <f>SUM([3]IRR底稿!BL5:BW5)</f>
        <v>1.1368683772161603E-13</v>
      </c>
      <c r="L158" s="3256">
        <f>SUM([3]IRR底稿!BX5:CI5)</f>
        <v>11.82</v>
      </c>
      <c r="M158" s="3256">
        <f>SUM([3]IRR底稿!CJ5:CU5)</f>
        <v>0</v>
      </c>
      <c r="N158" s="3256">
        <f>SUM([3]IRR底稿!CV5:DG5)</f>
        <v>0</v>
      </c>
      <c r="O158" s="3256">
        <f>SUM([3]IRR底稿!DH5:DS5)</f>
        <v>0</v>
      </c>
      <c r="P158" s="3256">
        <f>SUM([3]IRR底稿!DT5:EE5)</f>
        <v>0</v>
      </c>
      <c r="Q158" s="3256">
        <f>SUM([3]IRR底稿!EF5:EQ5)</f>
        <v>0</v>
      </c>
      <c r="R158" s="3256">
        <f>SUM([3]IRR底稿!ES5:FD5)</f>
        <v>0</v>
      </c>
    </row>
    <row r="159" spans="2:18" ht="18.95" customHeight="1" thickBot="1">
      <c r="B159" s="3180">
        <v>6</v>
      </c>
      <c r="C159" s="3257">
        <v>1.3</v>
      </c>
      <c r="D159" s="3257" t="s">
        <v>4345</v>
      </c>
      <c r="E159" s="3256">
        <f t="shared" si="35"/>
        <v>151.21999999999915</v>
      </c>
      <c r="F159" s="3256">
        <f>SUM([3]IRR底稿!D6:O6)</f>
        <v>0</v>
      </c>
      <c r="G159" s="3256">
        <f>SUM([3]IRR底稿!P6:AA6)</f>
        <v>0.04</v>
      </c>
      <c r="H159" s="3256">
        <f>SUM([3]IRR底稿!AB6:AM6)</f>
        <v>-450.26</v>
      </c>
      <c r="I159" s="3256">
        <f>SUM([3]IRR底稿!AN6:AY6)</f>
        <v>12.26999999999888</v>
      </c>
      <c r="J159" s="3256">
        <f>SUM([3]IRR底稿!AZ6:BK6)</f>
        <v>587.2700000000001</v>
      </c>
      <c r="K159" s="3256">
        <f>SUM([3]IRR底稿!BL6:BW6)</f>
        <v>-6.8299999999998979</v>
      </c>
      <c r="L159" s="3256">
        <f>SUM([3]IRR底稿!BX6:CI6)</f>
        <v>8.7300000000000164</v>
      </c>
      <c r="M159" s="3256">
        <f>SUM([3]IRR底稿!CJ6:CU6)</f>
        <v>0</v>
      </c>
      <c r="N159" s="3256">
        <f>SUM([3]IRR底稿!CV6:DG6)</f>
        <v>0</v>
      </c>
      <c r="O159" s="3256">
        <f>SUM([3]IRR底稿!DH6:DS6)</f>
        <v>0</v>
      </c>
      <c r="P159" s="3256">
        <f>SUM([3]IRR底稿!DT6:EE6)</f>
        <v>0</v>
      </c>
      <c r="Q159" s="3256">
        <f>SUM([3]IRR底稿!EF6:EQ6)</f>
        <v>0</v>
      </c>
      <c r="R159" s="3256">
        <f>SUM([3]IRR底稿!ES6:FD6)</f>
        <v>0</v>
      </c>
    </row>
    <row r="160" spans="2:18" ht="18.95" customHeight="1" thickBot="1">
      <c r="B160" s="3180">
        <v>7</v>
      </c>
      <c r="C160" s="3255">
        <v>2</v>
      </c>
      <c r="D160" s="3255" t="s">
        <v>4346</v>
      </c>
      <c r="E160" s="3256">
        <f t="shared" si="35"/>
        <v>132855.10546215999</v>
      </c>
      <c r="F160" s="3256">
        <f>SUM([3]IRR底稿!D7:O7)</f>
        <v>0</v>
      </c>
      <c r="G160" s="3256">
        <f>SUM([3]IRR底稿!P7:AA7)</f>
        <v>2</v>
      </c>
      <c r="H160" s="3256">
        <f>SUM([3]IRR底稿!AB7:AM7)</f>
        <v>24454.670000000002</v>
      </c>
      <c r="I160" s="3256">
        <f>SUM([3]IRR底稿!AN7:AY7)</f>
        <v>32800.46</v>
      </c>
      <c r="J160" s="3256">
        <f>SUM([3]IRR底稿!AZ7:BK7)</f>
        <v>8634.08</v>
      </c>
      <c r="K160" s="3256">
        <f>SUM([3]IRR底稿!BL7:BW7)</f>
        <v>17300.34</v>
      </c>
      <c r="L160" s="3256">
        <f>SUM([3]IRR底稿!BX7:CI7)</f>
        <v>10907.61</v>
      </c>
      <c r="M160" s="3256">
        <f>SUM([3]IRR底稿!CJ7:CU7)</f>
        <v>5643.5598412499994</v>
      </c>
      <c r="N160" s="3256">
        <f>SUM([3]IRR底稿!CV7:DG7)</f>
        <v>2073.7671510999999</v>
      </c>
      <c r="O160" s="3256">
        <f>SUM([3]IRR底稿!DH7:DS7)</f>
        <v>0</v>
      </c>
      <c r="P160" s="3256">
        <f>SUM([3]IRR底稿!DT7:EE7)</f>
        <v>0</v>
      </c>
      <c r="Q160" s="3256">
        <f>SUM([3]IRR底稿!EF7:EQ7)</f>
        <v>0</v>
      </c>
      <c r="R160" s="3256">
        <f>SUM([3]IRR底稿!ES7:FD7)</f>
        <v>31038.618469810001</v>
      </c>
    </row>
    <row r="161" spans="2:18" ht="18.95" customHeight="1" thickBot="1">
      <c r="B161" s="3180">
        <v>8</v>
      </c>
      <c r="C161" s="3257">
        <v>2.1</v>
      </c>
      <c r="D161" s="3257" t="s">
        <v>4347</v>
      </c>
      <c r="E161" s="3256">
        <f t="shared" si="35"/>
        <v>43568.529999999992</v>
      </c>
      <c r="F161" s="3256">
        <f>SUM([3]IRR底稿!D8:O8)</f>
        <v>0</v>
      </c>
      <c r="G161" s="3256">
        <f>SUM([3]IRR底稿!P8:AA8)</f>
        <v>0</v>
      </c>
      <c r="H161" s="3256">
        <f>SUM([3]IRR底稿!AB8:AM8)</f>
        <v>23652.05</v>
      </c>
      <c r="I161" s="3256">
        <f>SUM([3]IRR底稿!AN8:AY8)</f>
        <v>19791.349999999999</v>
      </c>
      <c r="J161" s="3256">
        <f>SUM([3]IRR底稿!AZ8:BK8)</f>
        <v>97.61</v>
      </c>
      <c r="K161" s="3256">
        <f>SUM([3]IRR底稿!BL8:BW8)</f>
        <v>27.52</v>
      </c>
      <c r="L161" s="3256">
        <f>SUM([3]IRR底稿!BX8:CI8)</f>
        <v>0</v>
      </c>
      <c r="M161" s="3256">
        <f>SUM([3]IRR底稿!CJ8:CU8)</f>
        <v>0</v>
      </c>
      <c r="N161" s="3256">
        <f>SUM([3]IRR底稿!CV8:DG8)</f>
        <v>0</v>
      </c>
      <c r="O161" s="3256">
        <f>SUM([3]IRR底稿!DH8:DS8)</f>
        <v>0</v>
      </c>
      <c r="P161" s="3256">
        <f>SUM([3]IRR底稿!DT8:EE8)</f>
        <v>0</v>
      </c>
      <c r="Q161" s="3256">
        <f>SUM([3]IRR底稿!EF8:EQ8)</f>
        <v>0</v>
      </c>
      <c r="R161" s="3256">
        <f>SUM([3]IRR底稿!ES8:FD8)</f>
        <v>0</v>
      </c>
    </row>
    <row r="162" spans="2:18" ht="18.95" customHeight="1" thickBot="1">
      <c r="B162" s="3180">
        <v>9</v>
      </c>
      <c r="C162" s="3257">
        <v>2.2000000000000002</v>
      </c>
      <c r="D162" s="3257" t="s">
        <v>4348</v>
      </c>
      <c r="E162" s="3256">
        <f t="shared" si="35"/>
        <v>75325.899999999994</v>
      </c>
      <c r="F162" s="3256">
        <f>SUM([3]IRR底稿!D9:O9)</f>
        <v>0</v>
      </c>
      <c r="G162" s="3256">
        <f>SUM([3]IRR底稿!P9:AA9)</f>
        <v>0</v>
      </c>
      <c r="H162" s="3256">
        <f>SUM([3]IRR底稿!AB9:AM9)</f>
        <v>530.47</v>
      </c>
      <c r="I162" s="3256">
        <f>SUM([3]IRR底稿!AN9:AY9)</f>
        <v>10395.24</v>
      </c>
      <c r="J162" s="3256">
        <f>SUM([3]IRR底稿!AZ9:BK9)</f>
        <v>6568.46</v>
      </c>
      <c r="K162" s="3256">
        <f>SUM([3]IRR底稿!BL9:BW9)</f>
        <v>16574.11</v>
      </c>
      <c r="L162" s="3256">
        <f>SUM([3]IRR底稿!BX9:CI9)</f>
        <v>9857.0199999999986</v>
      </c>
      <c r="M162" s="3256">
        <f>SUM([3]IRR底稿!CJ9:CU9)</f>
        <v>5222.8264080000008</v>
      </c>
      <c r="N162" s="3256">
        <f>SUM([3]IRR底稿!CV9:DG9)</f>
        <v>0</v>
      </c>
      <c r="O162" s="3256">
        <f>SUM([3]IRR底稿!DH9:DS9)</f>
        <v>0</v>
      </c>
      <c r="P162" s="3256">
        <f>SUM([3]IRR底稿!DT9:EE9)</f>
        <v>0</v>
      </c>
      <c r="Q162" s="3256">
        <f>SUM([3]IRR底稿!EF9:EQ9)</f>
        <v>0</v>
      </c>
      <c r="R162" s="3256">
        <f>SUM([3]IRR底稿!ES9:FD9)</f>
        <v>26177.773592000001</v>
      </c>
    </row>
    <row r="163" spans="2:18" ht="18.95" customHeight="1" thickBot="1">
      <c r="B163" s="3180">
        <v>10</v>
      </c>
      <c r="C163" s="3257">
        <v>2.2999999999999998</v>
      </c>
      <c r="D163" s="3257" t="s">
        <v>4349</v>
      </c>
      <c r="E163" s="3256">
        <f t="shared" si="35"/>
        <v>2984.8685252400001</v>
      </c>
      <c r="F163" s="3256">
        <f>SUM([3]IRR底稿!D10:O10)</f>
        <v>0</v>
      </c>
      <c r="G163" s="3256">
        <f>SUM([3]IRR底稿!P10:AA10)</f>
        <v>0</v>
      </c>
      <c r="H163" s="3256">
        <f>SUM([3]IRR底稿!AB10:AM10)</f>
        <v>62.89</v>
      </c>
      <c r="I163" s="3256">
        <f>SUM([3]IRR底稿!AN10:AY10)</f>
        <v>166.04000000000002</v>
      </c>
      <c r="J163" s="3256">
        <f>SUM([3]IRR底稿!AZ10:BK10)</f>
        <v>73.88</v>
      </c>
      <c r="K163" s="3256">
        <f>SUM([3]IRR底稿!BL10:BW10)</f>
        <v>147.79999999999998</v>
      </c>
      <c r="L163" s="3256">
        <f>SUM([3]IRR底稿!BX10:CI10)</f>
        <v>177.7</v>
      </c>
      <c r="M163" s="3256">
        <f>SUM([3]IRR底稿!CJ10:CU10)</f>
        <v>86.982367170000018</v>
      </c>
      <c r="N163" s="3256">
        <f>SUM([3]IRR底稿!CV10:DG10)</f>
        <v>817.48895524</v>
      </c>
      <c r="O163" s="3256">
        <f>SUM([3]IRR底稿!DH10:DS10)</f>
        <v>0</v>
      </c>
      <c r="P163" s="3256">
        <f>SUM([3]IRR底稿!DT10:EE10)</f>
        <v>0</v>
      </c>
      <c r="Q163" s="3256">
        <f>SUM([3]IRR底稿!EF10:EQ10)</f>
        <v>0</v>
      </c>
      <c r="R163" s="3256">
        <f>SUM([3]IRR底稿!ES10:FD10)</f>
        <v>1452.08720283</v>
      </c>
    </row>
    <row r="164" spans="2:18" ht="18.95" customHeight="1" thickBot="1">
      <c r="B164" s="3180">
        <v>11</v>
      </c>
      <c r="C164" s="3257">
        <v>2.4</v>
      </c>
      <c r="D164" s="3257" t="s">
        <v>4350</v>
      </c>
      <c r="E164" s="3256">
        <f t="shared" si="35"/>
        <v>3976.66</v>
      </c>
      <c r="F164" s="3256">
        <f>SUM([3]IRR底稿!D11:O11)</f>
        <v>0</v>
      </c>
      <c r="G164" s="3256">
        <f>SUM([3]IRR底稿!P11:AA11)</f>
        <v>0</v>
      </c>
      <c r="H164" s="3256">
        <f>SUM([3]IRR底稿!AB11:AM11)</f>
        <v>0.24</v>
      </c>
      <c r="I164" s="3256">
        <f>SUM([3]IRR底稿!AN11:AY11)</f>
        <v>654.53</v>
      </c>
      <c r="J164" s="3256">
        <f>SUM([3]IRR底稿!AZ11:BK11)</f>
        <v>739.76</v>
      </c>
      <c r="K164" s="3256">
        <f>SUM([3]IRR底稿!BL11:BW11)</f>
        <v>509.2</v>
      </c>
      <c r="L164" s="3256">
        <f>SUM([3]IRR底稿!BX11:CI11)</f>
        <v>376.56999999999994</v>
      </c>
      <c r="M164" s="3256">
        <f>SUM([3]IRR底稿!CJ11:CU11)</f>
        <v>39</v>
      </c>
      <c r="N164" s="3256">
        <f>SUM([3]IRR底稿!CV11:DG11)</f>
        <v>809.18</v>
      </c>
      <c r="O164" s="3256">
        <f>SUM([3]IRR底稿!DH11:DS11)</f>
        <v>0</v>
      </c>
      <c r="P164" s="3256">
        <f>SUM([3]IRR底稿!DT11:EE11)</f>
        <v>0</v>
      </c>
      <c r="Q164" s="3256">
        <f>SUM([3]IRR底稿!EF11:EQ11)</f>
        <v>0</v>
      </c>
      <c r="R164" s="3256">
        <f>SUM([3]IRR底稿!ES11:FD11)</f>
        <v>848.18</v>
      </c>
    </row>
    <row r="165" spans="2:18" ht="18.95" customHeight="1" thickBot="1">
      <c r="B165" s="3180">
        <v>12</v>
      </c>
      <c r="C165" s="3257">
        <v>2.5</v>
      </c>
      <c r="D165" s="3257" t="s">
        <v>4351</v>
      </c>
      <c r="E165" s="3256">
        <f t="shared" si="35"/>
        <v>2948.2856500000003</v>
      </c>
      <c r="F165" s="3256">
        <f>SUM([3]IRR底稿!D12:O12)</f>
        <v>0</v>
      </c>
      <c r="G165" s="3256">
        <f>SUM([3]IRR底稿!P12:AA12)</f>
        <v>2</v>
      </c>
      <c r="H165" s="3256">
        <f>SUM([3]IRR底稿!AB12:AM12)</f>
        <v>186.89</v>
      </c>
      <c r="I165" s="3256">
        <f>SUM([3]IRR底稿!AN12:AY12)</f>
        <v>928.0200000000001</v>
      </c>
      <c r="J165" s="3256">
        <f>SUM([3]IRR底稿!AZ12:BK12)</f>
        <v>452.27000000000004</v>
      </c>
      <c r="K165" s="3256">
        <f>SUM([3]IRR底稿!BL12:BW12)</f>
        <v>280.27999999999997</v>
      </c>
      <c r="L165" s="3256">
        <f>SUM([3]IRR底稿!BX12:CI12)</f>
        <v>162.41999999999999</v>
      </c>
      <c r="M165" s="3256">
        <f>SUM([3]IRR底稿!CJ12:CU12)</f>
        <v>25.949999999999996</v>
      </c>
      <c r="N165" s="3256">
        <f>SUM([3]IRR底稿!CV12:DG12)</f>
        <v>28.168549999999996</v>
      </c>
      <c r="O165" s="3256">
        <f>SUM([3]IRR底稿!DH12:DS12)</f>
        <v>0</v>
      </c>
      <c r="P165" s="3256">
        <f>SUM([3]IRR底稿!DT12:EE12)</f>
        <v>0</v>
      </c>
      <c r="Q165" s="3256">
        <f>SUM([3]IRR底稿!EF12:EQ12)</f>
        <v>0</v>
      </c>
      <c r="R165" s="3256">
        <f>SUM([3]IRR底稿!ES12:FD12)</f>
        <v>882.28710000000001</v>
      </c>
    </row>
    <row r="166" spans="2:18" ht="18.95" customHeight="1" thickBot="1">
      <c r="B166" s="3180">
        <v>13</v>
      </c>
      <c r="C166" s="3257">
        <v>2.6</v>
      </c>
      <c r="D166" s="3257" t="s">
        <v>4352</v>
      </c>
      <c r="E166" s="3256">
        <f t="shared" si="35"/>
        <v>3750.0612869200004</v>
      </c>
      <c r="F166" s="3256">
        <f>SUM([3]IRR底稿!D13:O13)</f>
        <v>0</v>
      </c>
      <c r="G166" s="3256">
        <f>SUM([3]IRR底稿!P13:AA13)</f>
        <v>0</v>
      </c>
      <c r="H166" s="3256">
        <f>SUM([3]IRR底稿!AB13:AM13)</f>
        <v>19.509999999999998</v>
      </c>
      <c r="I166" s="3256">
        <f>SUM([3]IRR底稿!AN13:AY13)</f>
        <v>858.47000000000014</v>
      </c>
      <c r="J166" s="3256">
        <f>SUM([3]IRR底稿!AZ13:BK13)</f>
        <v>675.86000000000013</v>
      </c>
      <c r="K166" s="3256">
        <f>SUM([3]IRR底稿!BL13:BW13)</f>
        <v>-239.02999999999994</v>
      </c>
      <c r="L166" s="3256">
        <f>SUM([3]IRR底稿!BX13:CI13)</f>
        <v>69.23</v>
      </c>
      <c r="M166" s="3256">
        <f>SUM([3]IRR底稿!CJ13:CU13)</f>
        <v>268.80106608</v>
      </c>
      <c r="N166" s="3256">
        <f>SUM([3]IRR底稿!CV13:DG13)</f>
        <v>418.92964585999999</v>
      </c>
      <c r="O166" s="3256">
        <f>SUM([3]IRR底稿!DH13:DS13)</f>
        <v>0</v>
      </c>
      <c r="P166" s="3256">
        <f>SUM([3]IRR底稿!DT13:EE13)</f>
        <v>0</v>
      </c>
      <c r="Q166" s="3256">
        <f>SUM([3]IRR底稿!EF13:EQ13)</f>
        <v>0</v>
      </c>
      <c r="R166" s="3256">
        <f>SUM([3]IRR底稿!ES13:FD13)</f>
        <v>1678.29057498</v>
      </c>
    </row>
    <row r="167" spans="2:18" ht="18.95" customHeight="1" thickBot="1">
      <c r="B167" s="3180">
        <v>14</v>
      </c>
      <c r="C167" s="3257">
        <v>2.7</v>
      </c>
      <c r="D167" s="3257" t="s">
        <v>4353</v>
      </c>
      <c r="E167" s="3256">
        <f t="shared" si="35"/>
        <v>300.80000000000598</v>
      </c>
      <c r="F167" s="3256">
        <f>SUM([3]IRR底稿!D14:O14)</f>
        <v>0</v>
      </c>
      <c r="G167" s="3256">
        <f>SUM([3]IRR底稿!P14:AA14)</f>
        <v>0</v>
      </c>
      <c r="H167" s="3256">
        <f>SUM([3]IRR底稿!AB14:AM14)</f>
        <v>2.6200000000002643</v>
      </c>
      <c r="I167" s="3256">
        <f>SUM([3]IRR底稿!AN14:AY14)</f>
        <v>6.810000000005707</v>
      </c>
      <c r="J167" s="3256">
        <f>SUM([3]IRR底稿!AZ14:BK14)</f>
        <v>26.239999999999021</v>
      </c>
      <c r="K167" s="3256">
        <f>SUM([3]IRR底稿!BL14:BW14)</f>
        <v>0.46000000000062119</v>
      </c>
      <c r="L167" s="3256">
        <f>SUM([3]IRR底稿!BX14:CI14)</f>
        <v>264.67000000000036</v>
      </c>
      <c r="M167" s="3256">
        <f>SUM([3]IRR底稿!CJ14:CU14)</f>
        <v>0</v>
      </c>
      <c r="N167" s="3256">
        <f>SUM([3]IRR底稿!CV14:DG14)</f>
        <v>0</v>
      </c>
      <c r="O167" s="3256">
        <f>SUM([3]IRR底稿!DH14:DS14)</f>
        <v>0</v>
      </c>
      <c r="P167" s="3256">
        <f>SUM([3]IRR底稿!DT14:EE14)</f>
        <v>0</v>
      </c>
      <c r="Q167" s="3256">
        <f>SUM([3]IRR底稿!EF14:EQ14)</f>
        <v>0</v>
      </c>
      <c r="R167" s="3256">
        <f>SUM([3]IRR底稿!ES14:FD14)</f>
        <v>0</v>
      </c>
    </row>
    <row r="168" spans="2:18" ht="18.95" customHeight="1" thickBot="1">
      <c r="B168" s="3180">
        <v>15</v>
      </c>
      <c r="C168" s="3255">
        <v>3</v>
      </c>
      <c r="D168" s="3255" t="s">
        <v>4354</v>
      </c>
      <c r="E168" s="3256">
        <f t="shared" si="35"/>
        <v>-17039.677462159991</v>
      </c>
      <c r="F168" s="3256">
        <f>SUM([3]IRR底稿!D15:O15)</f>
        <v>0</v>
      </c>
      <c r="G168" s="3256">
        <f>SUM([3]IRR底稿!P15:AA15)</f>
        <v>-1.96</v>
      </c>
      <c r="H168" s="3256">
        <f>SUM([3]IRR底稿!AB15:AM15)</f>
        <v>-24519.45</v>
      </c>
      <c r="I168" s="3256">
        <f>SUM([3]IRR底稿!AN15:AY15)</f>
        <v>-18987.129999999997</v>
      </c>
      <c r="J168" s="3256">
        <f>SUM([3]IRR底稿!AZ15:BK15)</f>
        <v>1525.3700000000001</v>
      </c>
      <c r="K168" s="3256">
        <f>SUM([3]IRR底稿!BL15:BW15)</f>
        <v>-13637.099999999999</v>
      </c>
      <c r="L168" s="3256">
        <f>SUM([3]IRR底稿!BX15:CI15)</f>
        <v>-12394.44</v>
      </c>
      <c r="M168" s="3256">
        <f>SUM([3]IRR底稿!CJ15:CU15)</f>
        <v>-1179.5198412499999</v>
      </c>
      <c r="N168" s="3256">
        <f>SUM([3]IRR底稿!CV15:DG15)</f>
        <v>3380.2300488999999</v>
      </c>
      <c r="O168" s="3256">
        <f>SUM([3]IRR底稿!DH15:DS15)</f>
        <v>0</v>
      </c>
      <c r="P168" s="3256">
        <f>SUM([3]IRR底稿!DT15:EE15)</f>
        <v>0</v>
      </c>
      <c r="Q168" s="3256">
        <f>SUM([3]IRR底稿!EF15:EQ15)</f>
        <v>0</v>
      </c>
      <c r="R168" s="3256">
        <f>SUM([3]IRR底稿!ES15:FD15)</f>
        <v>48774.32233019</v>
      </c>
    </row>
    <row r="169" spans="2:18" ht="18.95" customHeight="1" thickBot="1">
      <c r="C169" s="3255">
        <v>4</v>
      </c>
      <c r="D169" s="3255" t="s">
        <v>4355</v>
      </c>
      <c r="E169" s="3256">
        <f>E168</f>
        <v>-17039.677462159991</v>
      </c>
      <c r="F169" s="3256">
        <f>F168</f>
        <v>0</v>
      </c>
      <c r="G169" s="3256">
        <f t="shared" ref="G169:R169" si="36">G168+F169</f>
        <v>-1.96</v>
      </c>
      <c r="H169" s="3256">
        <f t="shared" si="36"/>
        <v>-24521.41</v>
      </c>
      <c r="I169" s="3256">
        <f t="shared" si="36"/>
        <v>-43508.539999999994</v>
      </c>
      <c r="J169" s="3256">
        <f t="shared" si="36"/>
        <v>-41983.169999999991</v>
      </c>
      <c r="K169" s="3256">
        <f t="shared" si="36"/>
        <v>-55620.26999999999</v>
      </c>
      <c r="L169" s="3256">
        <f t="shared" si="36"/>
        <v>-68014.709999999992</v>
      </c>
      <c r="M169" s="3256">
        <f t="shared" si="36"/>
        <v>-69194.229841249995</v>
      </c>
      <c r="N169" s="3256">
        <f t="shared" si="36"/>
        <v>-65813.99979234999</v>
      </c>
      <c r="O169" s="3256">
        <f t="shared" si="36"/>
        <v>-65813.99979234999</v>
      </c>
      <c r="P169" s="3256">
        <f t="shared" si="36"/>
        <v>-65813.99979234999</v>
      </c>
      <c r="Q169" s="3256">
        <f t="shared" si="36"/>
        <v>-65813.99979234999</v>
      </c>
      <c r="R169" s="3256">
        <f t="shared" si="36"/>
        <v>-17039.677462159991</v>
      </c>
    </row>
  </sheetData>
  <mergeCells count="29">
    <mergeCell ref="C134:C135"/>
    <mergeCell ref="D134:D135"/>
    <mergeCell ref="C143:C144"/>
    <mergeCell ref="D143:D144"/>
    <mergeCell ref="C111:C112"/>
    <mergeCell ref="D111:D112"/>
    <mergeCell ref="E111:E112"/>
    <mergeCell ref="F111:F112"/>
    <mergeCell ref="G111:L111"/>
    <mergeCell ref="C126:C127"/>
    <mergeCell ref="D126:D127"/>
    <mergeCell ref="L37:N37"/>
    <mergeCell ref="C29:C31"/>
    <mergeCell ref="C34:C35"/>
    <mergeCell ref="C37:C38"/>
    <mergeCell ref="D37:D38"/>
    <mergeCell ref="E37:E38"/>
    <mergeCell ref="F37:F38"/>
    <mergeCell ref="G37:G38"/>
    <mergeCell ref="H37:H38"/>
    <mergeCell ref="I37:I38"/>
    <mergeCell ref="J37:J38"/>
    <mergeCell ref="K37:K38"/>
    <mergeCell ref="C26:C28"/>
    <mergeCell ref="C2:C4"/>
    <mergeCell ref="E2:H2"/>
    <mergeCell ref="I2:L2"/>
    <mergeCell ref="C9:C11"/>
    <mergeCell ref="E9:H9"/>
  </mergeCells>
  <phoneticPr fontId="135"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11"/>
  <sheetViews>
    <sheetView workbookViewId="0">
      <pane ySplit="2" topLeftCell="A109" activePane="bottomLeft" state="frozen"/>
      <selection pane="bottomLeft" activeCell="N111" sqref="N111"/>
    </sheetView>
  </sheetViews>
  <sheetFormatPr defaultColWidth="8.625" defaultRowHeight="26.1" customHeight="1" outlineLevelCol="1"/>
  <cols>
    <col min="1" max="1" width="8.625" style="3180"/>
    <col min="2" max="2" width="0" style="3180" hidden="1" customWidth="1" outlineLevel="1"/>
    <col min="3" max="4" width="8.625" style="3180" outlineLevel="1"/>
    <col min="5" max="9" width="8.625" style="3180"/>
    <col min="10" max="10" width="11.25" style="3180" customWidth="1"/>
    <col min="11" max="11" width="8.625" style="3180"/>
    <col min="12" max="12" width="0" style="3182" hidden="1" customWidth="1"/>
    <col min="13" max="13" width="0" style="3182" hidden="1" customWidth="1" outlineLevel="1"/>
    <col min="14" max="14" width="11.875" style="3182" customWidth="1" collapsed="1"/>
    <col min="15" max="21" width="0" style="3182" hidden="1" customWidth="1" outlineLevel="1"/>
    <col min="22" max="22" width="0" style="3182" hidden="1" customWidth="1"/>
    <col min="23" max="23" width="0" style="3182" hidden="1" customWidth="1" outlineLevel="1"/>
    <col min="24" max="24" width="14.875" style="3182" hidden="1" customWidth="1"/>
    <col min="25" max="27" width="0" style="3182" hidden="1" customWidth="1" outlineLevel="1"/>
    <col min="28" max="28" width="14.875" style="3182" hidden="1" customWidth="1"/>
    <col min="29" max="46" width="0" style="3180" hidden="1" customWidth="1" outlineLevel="1"/>
    <col min="47" max="47" width="8.625" style="3180" collapsed="1"/>
    <col min="48" max="16384" width="8.625" style="3180"/>
  </cols>
  <sheetData>
    <row r="1" spans="1:46" ht="26.1" customHeight="1">
      <c r="J1" s="3181">
        <f>L1/(L1+'[6]销售明细表-已售银煌A2南区'!L1)</f>
        <v>0.32345199610159858</v>
      </c>
      <c r="L1" s="3182">
        <f>SUM(L2:L1756)</f>
        <v>12730.98000000002</v>
      </c>
      <c r="N1" s="3182">
        <f>SUM(N2:N110)</f>
        <v>12730.98000000002</v>
      </c>
    </row>
    <row r="2" spans="1:46" ht="26.1" customHeight="1">
      <c r="A2" s="3183" t="s">
        <v>3442</v>
      </c>
      <c r="B2" s="3183" t="s">
        <v>3443</v>
      </c>
      <c r="C2" s="3183" t="s">
        <v>3444</v>
      </c>
      <c r="D2" s="3183" t="s">
        <v>3445</v>
      </c>
      <c r="E2" s="3183" t="s">
        <v>3446</v>
      </c>
      <c r="F2" s="3183" t="s">
        <v>3447</v>
      </c>
      <c r="G2" s="3183" t="s">
        <v>3448</v>
      </c>
      <c r="H2" s="3183" t="s">
        <v>3449</v>
      </c>
      <c r="I2" s="3183" t="s">
        <v>3450</v>
      </c>
      <c r="J2" s="3183" t="s">
        <v>3451</v>
      </c>
      <c r="K2" s="3183" t="s">
        <v>3452</v>
      </c>
      <c r="L2" s="3184" t="s">
        <v>3453</v>
      </c>
      <c r="M2" s="3184" t="s">
        <v>3454</v>
      </c>
      <c r="N2" s="3184" t="s">
        <v>3455</v>
      </c>
      <c r="O2" s="3184" t="s">
        <v>3456</v>
      </c>
      <c r="P2" s="3184" t="s">
        <v>3457</v>
      </c>
      <c r="Q2" s="3184" t="s">
        <v>3458</v>
      </c>
      <c r="R2" s="3184" t="s">
        <v>3459</v>
      </c>
      <c r="S2" s="3184" t="s">
        <v>3460</v>
      </c>
      <c r="T2" s="3184" t="s">
        <v>3461</v>
      </c>
      <c r="U2" s="3184" t="s">
        <v>3462</v>
      </c>
      <c r="V2" s="3184" t="s">
        <v>3463</v>
      </c>
      <c r="W2" s="3184" t="s">
        <v>3464</v>
      </c>
      <c r="X2" s="3184" t="s">
        <v>3465</v>
      </c>
      <c r="Y2" s="3184" t="s">
        <v>3466</v>
      </c>
      <c r="Z2" s="3184" t="s">
        <v>3467</v>
      </c>
      <c r="AA2" s="3184" t="s">
        <v>3468</v>
      </c>
      <c r="AB2" s="3184" t="s">
        <v>3469</v>
      </c>
      <c r="AC2" s="3183" t="s">
        <v>3470</v>
      </c>
      <c r="AD2" s="3183" t="s">
        <v>3471</v>
      </c>
      <c r="AE2" s="3183" t="s">
        <v>3472</v>
      </c>
      <c r="AF2" s="3183" t="s">
        <v>3473</v>
      </c>
      <c r="AG2" s="3183" t="s">
        <v>3474</v>
      </c>
      <c r="AH2" s="3183" t="s">
        <v>3475</v>
      </c>
      <c r="AI2" s="3183" t="s">
        <v>3476</v>
      </c>
      <c r="AJ2" s="3183" t="s">
        <v>3477</v>
      </c>
      <c r="AK2" s="3183" t="s">
        <v>3478</v>
      </c>
      <c r="AL2" s="3183" t="s">
        <v>3479</v>
      </c>
      <c r="AM2" s="3183" t="s">
        <v>3480</v>
      </c>
      <c r="AN2" s="3183" t="s">
        <v>3481</v>
      </c>
      <c r="AO2" s="3183" t="s">
        <v>3482</v>
      </c>
      <c r="AP2" s="3183" t="s">
        <v>3483</v>
      </c>
      <c r="AQ2" s="3183" t="s">
        <v>3484</v>
      </c>
      <c r="AR2" s="3183" t="s">
        <v>3485</v>
      </c>
      <c r="AS2" s="3183" t="s">
        <v>3486</v>
      </c>
      <c r="AT2" s="3183" t="s">
        <v>3487</v>
      </c>
    </row>
    <row r="3" spans="1:46" ht="26.1" customHeight="1">
      <c r="A3" s="3185">
        <v>3</v>
      </c>
      <c r="B3" s="3185" t="s">
        <v>3488</v>
      </c>
      <c r="C3" s="3185" t="s">
        <v>3489</v>
      </c>
      <c r="D3" s="3185" t="s">
        <v>3490</v>
      </c>
      <c r="E3" s="3185" t="s">
        <v>3491</v>
      </c>
      <c r="F3" s="3185" t="s">
        <v>3492</v>
      </c>
      <c r="G3" s="3185" t="s">
        <v>3508</v>
      </c>
      <c r="H3" s="3185" t="s">
        <v>3509</v>
      </c>
      <c r="I3" s="3185" t="s">
        <v>3495</v>
      </c>
      <c r="J3" s="3185" t="s">
        <v>3389</v>
      </c>
      <c r="K3" s="3185" t="s">
        <v>3496</v>
      </c>
      <c r="L3" s="3186">
        <v>114.02</v>
      </c>
      <c r="M3" s="3186">
        <v>92.93</v>
      </c>
      <c r="N3" s="3191">
        <v>114.02</v>
      </c>
      <c r="O3" s="3186">
        <v>92.93</v>
      </c>
      <c r="P3" s="3186">
        <v>4300</v>
      </c>
      <c r="Q3" s="3186">
        <v>5275.86</v>
      </c>
      <c r="R3" s="3186">
        <v>490286</v>
      </c>
      <c r="S3" s="3186">
        <v>4300</v>
      </c>
      <c r="T3" s="3186">
        <v>5275.8635999999997</v>
      </c>
      <c r="U3" s="3186">
        <v>490286</v>
      </c>
      <c r="V3" s="3186"/>
      <c r="W3" s="3186"/>
      <c r="X3" s="3186"/>
      <c r="Y3" s="3186"/>
      <c r="Z3" s="3186">
        <v>0</v>
      </c>
      <c r="AA3" s="3186"/>
      <c r="AB3" s="3186">
        <v>0</v>
      </c>
      <c r="AC3" s="3187">
        <v>44028</v>
      </c>
      <c r="AD3" s="3187">
        <v>45264.773614039397</v>
      </c>
      <c r="AE3" s="3187">
        <v>44090.402999074096</v>
      </c>
      <c r="AF3" s="3187"/>
      <c r="AG3" s="3187"/>
      <c r="AH3" s="3187"/>
      <c r="AI3" s="3187"/>
      <c r="AJ3" s="3187"/>
      <c r="AK3" s="3187">
        <v>44834</v>
      </c>
      <c r="AL3" s="3187">
        <v>44028</v>
      </c>
      <c r="AM3" s="3188"/>
      <c r="AN3" s="3188"/>
      <c r="AO3" s="3188"/>
      <c r="AP3" s="3188"/>
      <c r="AQ3" s="3188"/>
      <c r="AR3" s="3188"/>
      <c r="AS3" s="3188"/>
      <c r="AT3" s="3188"/>
    </row>
    <row r="4" spans="1:46" ht="26.1" customHeight="1">
      <c r="A4" s="3185">
        <v>4</v>
      </c>
      <c r="B4" s="3185" t="s">
        <v>3488</v>
      </c>
      <c r="C4" s="3185" t="s">
        <v>3489</v>
      </c>
      <c r="D4" s="3185" t="s">
        <v>3490</v>
      </c>
      <c r="E4" s="3185" t="s">
        <v>3491</v>
      </c>
      <c r="F4" s="3185" t="s">
        <v>3492</v>
      </c>
      <c r="G4" s="3185" t="s">
        <v>3510</v>
      </c>
      <c r="H4" s="3185" t="s">
        <v>3509</v>
      </c>
      <c r="I4" s="3185" t="s">
        <v>3495</v>
      </c>
      <c r="J4" s="3185" t="s">
        <v>3389</v>
      </c>
      <c r="K4" s="3185" t="s">
        <v>3496</v>
      </c>
      <c r="L4" s="3186">
        <v>114.02</v>
      </c>
      <c r="M4" s="3186">
        <v>92.93</v>
      </c>
      <c r="N4" s="3191">
        <v>114.02</v>
      </c>
      <c r="O4" s="3186">
        <v>92.93</v>
      </c>
      <c r="P4" s="3186">
        <v>4300</v>
      </c>
      <c r="Q4" s="3186">
        <v>5275.86</v>
      </c>
      <c r="R4" s="3186">
        <v>490286</v>
      </c>
      <c r="S4" s="3186">
        <v>4300</v>
      </c>
      <c r="T4" s="3186">
        <v>5275.8635999999997</v>
      </c>
      <c r="U4" s="3186">
        <v>490286</v>
      </c>
      <c r="V4" s="3186"/>
      <c r="W4" s="3186"/>
      <c r="X4" s="3186"/>
      <c r="Y4" s="3186"/>
      <c r="Z4" s="3186">
        <v>0</v>
      </c>
      <c r="AA4" s="3186"/>
      <c r="AB4" s="3186">
        <v>0</v>
      </c>
      <c r="AC4" s="3187">
        <v>44028</v>
      </c>
      <c r="AD4" s="3187">
        <v>45264.773614039397</v>
      </c>
      <c r="AE4" s="3187">
        <v>44090.402999074096</v>
      </c>
      <c r="AF4" s="3187"/>
      <c r="AG4" s="3187"/>
      <c r="AH4" s="3187"/>
      <c r="AI4" s="3187"/>
      <c r="AJ4" s="3187"/>
      <c r="AK4" s="3187">
        <v>44834</v>
      </c>
      <c r="AL4" s="3187">
        <v>44028</v>
      </c>
      <c r="AM4" s="3188"/>
      <c r="AN4" s="3188"/>
      <c r="AO4" s="3188"/>
      <c r="AP4" s="3188"/>
      <c r="AQ4" s="3188"/>
      <c r="AR4" s="3188"/>
      <c r="AS4" s="3188"/>
      <c r="AT4" s="3188"/>
    </row>
    <row r="5" spans="1:46" ht="26.1" customHeight="1">
      <c r="A5" s="3185">
        <v>5</v>
      </c>
      <c r="B5" s="3185" t="s">
        <v>3488</v>
      </c>
      <c r="C5" s="3185" t="s">
        <v>3489</v>
      </c>
      <c r="D5" s="3185" t="s">
        <v>3490</v>
      </c>
      <c r="E5" s="3185" t="s">
        <v>3491</v>
      </c>
      <c r="F5" s="3185" t="s">
        <v>3492</v>
      </c>
      <c r="G5" s="3185" t="s">
        <v>3511</v>
      </c>
      <c r="H5" s="3185" t="s">
        <v>3509</v>
      </c>
      <c r="I5" s="3185" t="s">
        <v>3495</v>
      </c>
      <c r="J5" s="3185" t="s">
        <v>3389</v>
      </c>
      <c r="K5" s="3185" t="s">
        <v>3496</v>
      </c>
      <c r="L5" s="3186">
        <v>114.02</v>
      </c>
      <c r="M5" s="3186">
        <v>92.93</v>
      </c>
      <c r="N5" s="3191">
        <v>114.02</v>
      </c>
      <c r="O5" s="3186">
        <v>92.93</v>
      </c>
      <c r="P5" s="3186">
        <v>4350</v>
      </c>
      <c r="Q5" s="3186">
        <v>5337.21</v>
      </c>
      <c r="R5" s="3186">
        <v>495987</v>
      </c>
      <c r="S5" s="3186">
        <v>4350</v>
      </c>
      <c r="T5" s="3186">
        <v>5337.2107999999998</v>
      </c>
      <c r="U5" s="3186">
        <v>495987</v>
      </c>
      <c r="V5" s="3186"/>
      <c r="W5" s="3186"/>
      <c r="X5" s="3186"/>
      <c r="Y5" s="3186"/>
      <c r="Z5" s="3186">
        <v>0</v>
      </c>
      <c r="AA5" s="3186"/>
      <c r="AB5" s="3186">
        <v>0</v>
      </c>
      <c r="AC5" s="3187">
        <v>44028</v>
      </c>
      <c r="AD5" s="3187">
        <v>45264.773614039397</v>
      </c>
      <c r="AE5" s="3187">
        <v>44090.402999074096</v>
      </c>
      <c r="AF5" s="3187"/>
      <c r="AG5" s="3187"/>
      <c r="AH5" s="3188"/>
      <c r="AI5" s="3188"/>
      <c r="AJ5" s="3187"/>
      <c r="AK5" s="3187">
        <v>44834</v>
      </c>
      <c r="AL5" s="3187">
        <v>44028</v>
      </c>
      <c r="AM5" s="3188"/>
      <c r="AN5" s="3188"/>
      <c r="AO5" s="3188"/>
      <c r="AP5" s="3188"/>
      <c r="AQ5" s="3188"/>
      <c r="AR5" s="3188"/>
      <c r="AS5" s="3188"/>
      <c r="AT5" s="3188"/>
    </row>
    <row r="6" spans="1:46" ht="26.1" customHeight="1">
      <c r="A6" s="3185">
        <v>6</v>
      </c>
      <c r="B6" s="3185" t="s">
        <v>3488</v>
      </c>
      <c r="C6" s="3185" t="s">
        <v>3489</v>
      </c>
      <c r="D6" s="3185" t="s">
        <v>3490</v>
      </c>
      <c r="E6" s="3185" t="s">
        <v>3491</v>
      </c>
      <c r="F6" s="3185" t="s">
        <v>3492</v>
      </c>
      <c r="G6" s="3185" t="s">
        <v>3512</v>
      </c>
      <c r="H6" s="3185" t="s">
        <v>3509</v>
      </c>
      <c r="I6" s="3185" t="s">
        <v>3495</v>
      </c>
      <c r="J6" s="3185" t="s">
        <v>3389</v>
      </c>
      <c r="K6" s="3185" t="s">
        <v>3496</v>
      </c>
      <c r="L6" s="3186">
        <v>114.02</v>
      </c>
      <c r="M6" s="3186">
        <v>92.93</v>
      </c>
      <c r="N6" s="3191">
        <v>114.02</v>
      </c>
      <c r="O6" s="3186">
        <v>92.93</v>
      </c>
      <c r="P6" s="3186">
        <v>4350</v>
      </c>
      <c r="Q6" s="3186">
        <v>5337.21</v>
      </c>
      <c r="R6" s="3186">
        <v>495987</v>
      </c>
      <c r="S6" s="3186">
        <v>4350</v>
      </c>
      <c r="T6" s="3186">
        <v>5337.2107999999998</v>
      </c>
      <c r="U6" s="3186">
        <v>495987</v>
      </c>
      <c r="V6" s="3186"/>
      <c r="W6" s="3186"/>
      <c r="X6" s="3186"/>
      <c r="Y6" s="3186"/>
      <c r="Z6" s="3186">
        <v>0</v>
      </c>
      <c r="AA6" s="3186"/>
      <c r="AB6" s="3186">
        <v>0</v>
      </c>
      <c r="AC6" s="3187">
        <v>44028</v>
      </c>
      <c r="AD6" s="3187">
        <v>45264.773614039397</v>
      </c>
      <c r="AE6" s="3187">
        <v>44090.402999074096</v>
      </c>
      <c r="AF6" s="3187"/>
      <c r="AG6" s="3187"/>
      <c r="AH6" s="3188"/>
      <c r="AI6" s="3188"/>
      <c r="AJ6" s="3187"/>
      <c r="AK6" s="3187">
        <v>44834</v>
      </c>
      <c r="AL6" s="3187">
        <v>44028</v>
      </c>
      <c r="AM6" s="3188"/>
      <c r="AN6" s="3188"/>
      <c r="AO6" s="3188"/>
      <c r="AP6" s="3188"/>
      <c r="AQ6" s="3188"/>
      <c r="AR6" s="3188"/>
      <c r="AS6" s="3188"/>
      <c r="AT6" s="3188"/>
    </row>
    <row r="7" spans="1:46" ht="26.1" customHeight="1">
      <c r="A7" s="3185">
        <v>7</v>
      </c>
      <c r="B7" s="3185" t="s">
        <v>3488</v>
      </c>
      <c r="C7" s="3185" t="s">
        <v>3489</v>
      </c>
      <c r="D7" s="3185" t="s">
        <v>3490</v>
      </c>
      <c r="E7" s="3185" t="s">
        <v>3491</v>
      </c>
      <c r="F7" s="3185" t="s">
        <v>3492</v>
      </c>
      <c r="G7" s="3185" t="s">
        <v>3513</v>
      </c>
      <c r="H7" s="3185" t="s">
        <v>3509</v>
      </c>
      <c r="I7" s="3185" t="s">
        <v>3495</v>
      </c>
      <c r="J7" s="3185" t="s">
        <v>3389</v>
      </c>
      <c r="K7" s="3185" t="s">
        <v>3496</v>
      </c>
      <c r="L7" s="3186">
        <v>114.02</v>
      </c>
      <c r="M7" s="3186">
        <v>92.93</v>
      </c>
      <c r="N7" s="3191">
        <v>114.02</v>
      </c>
      <c r="O7" s="3186">
        <v>92.93</v>
      </c>
      <c r="P7" s="3186">
        <v>4400</v>
      </c>
      <c r="Q7" s="3186">
        <v>5398.56</v>
      </c>
      <c r="R7" s="3186">
        <v>501688</v>
      </c>
      <c r="S7" s="3186">
        <v>4400</v>
      </c>
      <c r="T7" s="3186">
        <v>5398.5581000000002</v>
      </c>
      <c r="U7" s="3186">
        <v>501688</v>
      </c>
      <c r="V7" s="3186"/>
      <c r="W7" s="3186"/>
      <c r="X7" s="3186"/>
      <c r="Y7" s="3186"/>
      <c r="Z7" s="3186">
        <v>0</v>
      </c>
      <c r="AA7" s="3186"/>
      <c r="AB7" s="3186">
        <v>0</v>
      </c>
      <c r="AC7" s="3187">
        <v>44028</v>
      </c>
      <c r="AD7" s="3187">
        <v>45264.773614039397</v>
      </c>
      <c r="AE7" s="3187">
        <v>44090.402999074096</v>
      </c>
      <c r="AF7" s="3187"/>
      <c r="AG7" s="3187"/>
      <c r="AH7" s="3187"/>
      <c r="AI7" s="3187"/>
      <c r="AJ7" s="3187"/>
      <c r="AK7" s="3187">
        <v>44834</v>
      </c>
      <c r="AL7" s="3187">
        <v>44028</v>
      </c>
      <c r="AM7" s="3188"/>
      <c r="AN7" s="3188"/>
      <c r="AO7" s="3188"/>
      <c r="AP7" s="3188"/>
      <c r="AQ7" s="3188"/>
      <c r="AR7" s="3188"/>
      <c r="AS7" s="3188"/>
      <c r="AT7" s="3188"/>
    </row>
    <row r="8" spans="1:46" ht="26.1" customHeight="1">
      <c r="A8" s="3185">
        <v>8</v>
      </c>
      <c r="B8" s="3185" t="s">
        <v>3488</v>
      </c>
      <c r="C8" s="3185" t="s">
        <v>3489</v>
      </c>
      <c r="D8" s="3185" t="s">
        <v>3490</v>
      </c>
      <c r="E8" s="3185" t="s">
        <v>3491</v>
      </c>
      <c r="F8" s="3185" t="s">
        <v>3492</v>
      </c>
      <c r="G8" s="3185" t="s">
        <v>3514</v>
      </c>
      <c r="H8" s="3185" t="s">
        <v>3509</v>
      </c>
      <c r="I8" s="3185" t="s">
        <v>3495</v>
      </c>
      <c r="J8" s="3185" t="s">
        <v>3389</v>
      </c>
      <c r="K8" s="3185" t="s">
        <v>3496</v>
      </c>
      <c r="L8" s="3186">
        <v>114.02</v>
      </c>
      <c r="M8" s="3186">
        <v>92.93</v>
      </c>
      <c r="N8" s="3191">
        <v>114.02</v>
      </c>
      <c r="O8" s="3186">
        <v>92.93</v>
      </c>
      <c r="P8" s="3186">
        <v>4400</v>
      </c>
      <c r="Q8" s="3186">
        <v>5398.56</v>
      </c>
      <c r="R8" s="3186">
        <v>501688</v>
      </c>
      <c r="S8" s="3186">
        <v>4400</v>
      </c>
      <c r="T8" s="3186">
        <v>5398.5581000000002</v>
      </c>
      <c r="U8" s="3186">
        <v>501688</v>
      </c>
      <c r="V8" s="3186"/>
      <c r="W8" s="3186"/>
      <c r="X8" s="3186"/>
      <c r="Y8" s="3186"/>
      <c r="Z8" s="3186">
        <v>0</v>
      </c>
      <c r="AA8" s="3186"/>
      <c r="AB8" s="3186">
        <v>0</v>
      </c>
      <c r="AC8" s="3187">
        <v>44028</v>
      </c>
      <c r="AD8" s="3187">
        <v>45264.773614039397</v>
      </c>
      <c r="AE8" s="3187">
        <v>44090.402999074096</v>
      </c>
      <c r="AF8" s="3187"/>
      <c r="AG8" s="3187"/>
      <c r="AH8" s="3188"/>
      <c r="AI8" s="3188"/>
      <c r="AJ8" s="3187"/>
      <c r="AK8" s="3187">
        <v>44834</v>
      </c>
      <c r="AL8" s="3187">
        <v>44028</v>
      </c>
      <c r="AM8" s="3188"/>
      <c r="AN8" s="3188"/>
      <c r="AO8" s="3188"/>
      <c r="AP8" s="3188"/>
      <c r="AQ8" s="3188"/>
      <c r="AR8" s="3188"/>
      <c r="AS8" s="3188"/>
      <c r="AT8" s="3188"/>
    </row>
    <row r="9" spans="1:46" ht="26.1" customHeight="1">
      <c r="A9" s="3185">
        <v>10</v>
      </c>
      <c r="B9" s="3185" t="s">
        <v>3488</v>
      </c>
      <c r="C9" s="3185" t="s">
        <v>3489</v>
      </c>
      <c r="D9" s="3185" t="s">
        <v>3490</v>
      </c>
      <c r="E9" s="3185" t="s">
        <v>3491</v>
      </c>
      <c r="F9" s="3185" t="s">
        <v>3492</v>
      </c>
      <c r="G9" s="3185" t="s">
        <v>3521</v>
      </c>
      <c r="H9" s="3185" t="s">
        <v>3509</v>
      </c>
      <c r="I9" s="3185" t="s">
        <v>3495</v>
      </c>
      <c r="J9" s="3185" t="s">
        <v>3389</v>
      </c>
      <c r="K9" s="3185" t="s">
        <v>3496</v>
      </c>
      <c r="L9" s="3186">
        <v>114.02</v>
      </c>
      <c r="M9" s="3186">
        <v>92.93</v>
      </c>
      <c r="N9" s="3191">
        <v>114.02</v>
      </c>
      <c r="O9" s="3186">
        <v>92.93</v>
      </c>
      <c r="P9" s="3186">
        <v>4600</v>
      </c>
      <c r="Q9" s="3186">
        <v>5643.95</v>
      </c>
      <c r="R9" s="3186">
        <v>524492</v>
      </c>
      <c r="S9" s="3186">
        <v>4600</v>
      </c>
      <c r="T9" s="3186">
        <v>5643.9471000000003</v>
      </c>
      <c r="U9" s="3186">
        <v>524492</v>
      </c>
      <c r="V9" s="3186"/>
      <c r="W9" s="3186"/>
      <c r="X9" s="3186"/>
      <c r="Y9" s="3186"/>
      <c r="Z9" s="3186">
        <v>0</v>
      </c>
      <c r="AA9" s="3186"/>
      <c r="AB9" s="3186">
        <v>0</v>
      </c>
      <c r="AC9" s="3187">
        <v>44028</v>
      </c>
      <c r="AD9" s="3187">
        <v>45264.773614039397</v>
      </c>
      <c r="AE9" s="3187">
        <v>44090.402999074096</v>
      </c>
      <c r="AF9" s="3187"/>
      <c r="AG9" s="3187"/>
      <c r="AH9" s="3188"/>
      <c r="AI9" s="3188"/>
      <c r="AJ9" s="3187"/>
      <c r="AK9" s="3187">
        <v>44834</v>
      </c>
      <c r="AL9" s="3187">
        <v>44028</v>
      </c>
      <c r="AM9" s="3188"/>
      <c r="AN9" s="3188"/>
      <c r="AO9" s="3188"/>
      <c r="AP9" s="3188"/>
      <c r="AQ9" s="3188"/>
      <c r="AR9" s="3188"/>
      <c r="AS9" s="3188"/>
      <c r="AT9" s="3188"/>
    </row>
    <row r="10" spans="1:46" ht="26.1" customHeight="1">
      <c r="A10" s="3185">
        <v>11</v>
      </c>
      <c r="B10" s="3185" t="s">
        <v>3488</v>
      </c>
      <c r="C10" s="3185" t="s">
        <v>3489</v>
      </c>
      <c r="D10" s="3185" t="s">
        <v>3490</v>
      </c>
      <c r="E10" s="3185" t="s">
        <v>3491</v>
      </c>
      <c r="F10" s="3185" t="s">
        <v>3492</v>
      </c>
      <c r="G10" s="3185" t="s">
        <v>3522</v>
      </c>
      <c r="H10" s="3185" t="s">
        <v>3509</v>
      </c>
      <c r="I10" s="3185" t="s">
        <v>3495</v>
      </c>
      <c r="J10" s="3185" t="s">
        <v>3389</v>
      </c>
      <c r="K10" s="3185" t="s">
        <v>3496</v>
      </c>
      <c r="L10" s="3186">
        <v>114.02</v>
      </c>
      <c r="M10" s="3186">
        <v>92.93</v>
      </c>
      <c r="N10" s="3191">
        <v>114.02</v>
      </c>
      <c r="O10" s="3186">
        <v>92.93</v>
      </c>
      <c r="P10" s="3186">
        <v>4550</v>
      </c>
      <c r="Q10" s="3186">
        <v>5582.6</v>
      </c>
      <c r="R10" s="3186">
        <v>518791</v>
      </c>
      <c r="S10" s="3186">
        <v>4550</v>
      </c>
      <c r="T10" s="3186">
        <v>5582.5998</v>
      </c>
      <c r="U10" s="3186">
        <v>518791</v>
      </c>
      <c r="V10" s="3186"/>
      <c r="W10" s="3186"/>
      <c r="X10" s="3186"/>
      <c r="Y10" s="3186"/>
      <c r="Z10" s="3186">
        <v>0</v>
      </c>
      <c r="AA10" s="3186"/>
      <c r="AB10" s="3186">
        <v>0</v>
      </c>
      <c r="AC10" s="3187">
        <v>44028</v>
      </c>
      <c r="AD10" s="3187">
        <v>45264.773614039397</v>
      </c>
      <c r="AE10" s="3187">
        <v>44090.402999074096</v>
      </c>
      <c r="AF10" s="3187"/>
      <c r="AG10" s="3187"/>
      <c r="AH10" s="3187"/>
      <c r="AI10" s="3187"/>
      <c r="AJ10" s="3187"/>
      <c r="AK10" s="3187">
        <v>44834</v>
      </c>
      <c r="AL10" s="3187">
        <v>44028</v>
      </c>
      <c r="AM10" s="3188"/>
      <c r="AN10" s="3188"/>
      <c r="AO10" s="3188"/>
      <c r="AP10" s="3188"/>
      <c r="AQ10" s="3188"/>
      <c r="AR10" s="3188"/>
      <c r="AS10" s="3188"/>
      <c r="AT10" s="3188"/>
    </row>
    <row r="11" spans="1:46" ht="26.1" customHeight="1">
      <c r="A11" s="3185">
        <v>15</v>
      </c>
      <c r="B11" s="3185" t="s">
        <v>3488</v>
      </c>
      <c r="C11" s="3185" t="s">
        <v>3489</v>
      </c>
      <c r="D11" s="3185" t="s">
        <v>3490</v>
      </c>
      <c r="E11" s="3185" t="s">
        <v>3491</v>
      </c>
      <c r="F11" s="3185" t="s">
        <v>3492</v>
      </c>
      <c r="G11" s="3185" t="s">
        <v>3529</v>
      </c>
      <c r="H11" s="3185" t="s">
        <v>3509</v>
      </c>
      <c r="I11" s="3185" t="s">
        <v>3495</v>
      </c>
      <c r="J11" s="3185" t="s">
        <v>3389</v>
      </c>
      <c r="K11" s="3185" t="s">
        <v>3496</v>
      </c>
      <c r="L11" s="3186">
        <v>114.02</v>
      </c>
      <c r="M11" s="3186">
        <v>92.93</v>
      </c>
      <c r="N11" s="3191">
        <v>114.02</v>
      </c>
      <c r="O11" s="3186">
        <v>92.93</v>
      </c>
      <c r="P11" s="3186">
        <v>4800</v>
      </c>
      <c r="Q11" s="3186">
        <v>5889.34</v>
      </c>
      <c r="R11" s="3186">
        <v>547296</v>
      </c>
      <c r="S11" s="3186">
        <v>4800</v>
      </c>
      <c r="T11" s="3186">
        <v>5889.3361000000004</v>
      </c>
      <c r="U11" s="3186">
        <v>547296</v>
      </c>
      <c r="V11" s="3186"/>
      <c r="W11" s="3186"/>
      <c r="X11" s="3186"/>
      <c r="Y11" s="3186"/>
      <c r="Z11" s="3186">
        <v>0</v>
      </c>
      <c r="AA11" s="3186"/>
      <c r="AB11" s="3186">
        <v>0</v>
      </c>
      <c r="AC11" s="3187">
        <v>44028</v>
      </c>
      <c r="AD11" s="3187">
        <v>45264.773614039397</v>
      </c>
      <c r="AE11" s="3187">
        <v>44090.402999074096</v>
      </c>
      <c r="AF11" s="3187"/>
      <c r="AG11" s="3187"/>
      <c r="AH11" s="3187"/>
      <c r="AI11" s="3188"/>
      <c r="AJ11" s="3187"/>
      <c r="AK11" s="3187"/>
      <c r="AL11" s="3187">
        <v>44028</v>
      </c>
      <c r="AM11" s="3188"/>
      <c r="AN11" s="3188"/>
      <c r="AO11" s="3188"/>
      <c r="AP11" s="3188"/>
      <c r="AQ11" s="3188"/>
      <c r="AR11" s="3188"/>
      <c r="AS11" s="3188"/>
      <c r="AT11" s="3188"/>
    </row>
    <row r="12" spans="1:46" ht="26.1" customHeight="1">
      <c r="A12" s="3185">
        <v>19</v>
      </c>
      <c r="B12" s="3185" t="s">
        <v>3488</v>
      </c>
      <c r="C12" s="3185" t="s">
        <v>3489</v>
      </c>
      <c r="D12" s="3185" t="s">
        <v>3490</v>
      </c>
      <c r="E12" s="3185" t="s">
        <v>3491</v>
      </c>
      <c r="F12" s="3185" t="s">
        <v>3492</v>
      </c>
      <c r="G12" s="3185" t="s">
        <v>3536</v>
      </c>
      <c r="H12" s="3185" t="s">
        <v>3509</v>
      </c>
      <c r="I12" s="3185" t="s">
        <v>3495</v>
      </c>
      <c r="J12" s="3185" t="s">
        <v>3389</v>
      </c>
      <c r="K12" s="3185" t="s">
        <v>3496</v>
      </c>
      <c r="L12" s="3186">
        <v>155.27000000000001</v>
      </c>
      <c r="M12" s="3186">
        <v>126.55</v>
      </c>
      <c r="N12" s="3191">
        <v>155.27000000000001</v>
      </c>
      <c r="O12" s="3186">
        <v>126.55</v>
      </c>
      <c r="P12" s="3186">
        <v>4400</v>
      </c>
      <c r="Q12" s="3186">
        <v>5398.56</v>
      </c>
      <c r="R12" s="3186">
        <v>683188</v>
      </c>
      <c r="S12" s="3186">
        <v>4400</v>
      </c>
      <c r="T12" s="3186">
        <v>5398.5618000000004</v>
      </c>
      <c r="U12" s="3186">
        <v>683188</v>
      </c>
      <c r="V12" s="3186"/>
      <c r="W12" s="3186"/>
      <c r="X12" s="3186"/>
      <c r="Y12" s="3186"/>
      <c r="Z12" s="3186">
        <v>0</v>
      </c>
      <c r="AA12" s="3186"/>
      <c r="AB12" s="3186">
        <v>0</v>
      </c>
      <c r="AC12" s="3187">
        <v>44028</v>
      </c>
      <c r="AD12" s="3187">
        <v>45264.773614039397</v>
      </c>
      <c r="AE12" s="3187">
        <v>44090.402999074096</v>
      </c>
      <c r="AF12" s="3187"/>
      <c r="AG12" s="3187"/>
      <c r="AH12" s="3187"/>
      <c r="AI12" s="3187"/>
      <c r="AJ12" s="3187"/>
      <c r="AK12" s="3187">
        <v>44834</v>
      </c>
      <c r="AL12" s="3187">
        <v>44028</v>
      </c>
      <c r="AM12" s="3188"/>
      <c r="AN12" s="3188"/>
      <c r="AO12" s="3188"/>
      <c r="AP12" s="3188"/>
      <c r="AQ12" s="3188"/>
      <c r="AR12" s="3188"/>
      <c r="AS12" s="3188"/>
      <c r="AT12" s="3188"/>
    </row>
    <row r="13" spans="1:46" ht="26.1" customHeight="1">
      <c r="A13" s="3185">
        <v>20</v>
      </c>
      <c r="B13" s="3185" t="s">
        <v>3488</v>
      </c>
      <c r="C13" s="3185" t="s">
        <v>3489</v>
      </c>
      <c r="D13" s="3185" t="s">
        <v>3490</v>
      </c>
      <c r="E13" s="3185" t="s">
        <v>3491</v>
      </c>
      <c r="F13" s="3185" t="s">
        <v>3492</v>
      </c>
      <c r="G13" s="3185" t="s">
        <v>3537</v>
      </c>
      <c r="H13" s="3185" t="s">
        <v>3509</v>
      </c>
      <c r="I13" s="3185" t="s">
        <v>3495</v>
      </c>
      <c r="J13" s="3185" t="s">
        <v>3389</v>
      </c>
      <c r="K13" s="3185" t="s">
        <v>3496</v>
      </c>
      <c r="L13" s="3186">
        <v>151.4</v>
      </c>
      <c r="M13" s="3186">
        <v>123.4</v>
      </c>
      <c r="N13" s="3191">
        <v>151.4</v>
      </c>
      <c r="O13" s="3186">
        <v>123.4</v>
      </c>
      <c r="P13" s="3186">
        <v>4400</v>
      </c>
      <c r="Q13" s="3186">
        <v>5398.38</v>
      </c>
      <c r="R13" s="3186">
        <v>666160</v>
      </c>
      <c r="S13" s="3186">
        <v>4400</v>
      </c>
      <c r="T13" s="3186">
        <v>5398.3792999999996</v>
      </c>
      <c r="U13" s="3186">
        <v>666160</v>
      </c>
      <c r="V13" s="3186"/>
      <c r="W13" s="3186"/>
      <c r="X13" s="3186"/>
      <c r="Y13" s="3186"/>
      <c r="Z13" s="3186">
        <v>0</v>
      </c>
      <c r="AA13" s="3186"/>
      <c r="AB13" s="3186">
        <v>0</v>
      </c>
      <c r="AC13" s="3187">
        <v>44028</v>
      </c>
      <c r="AD13" s="3187">
        <v>45264.773614039397</v>
      </c>
      <c r="AE13" s="3187">
        <v>44090.402999074096</v>
      </c>
      <c r="AF13" s="3187"/>
      <c r="AG13" s="3187"/>
      <c r="AH13" s="3187"/>
      <c r="AI13" s="3188"/>
      <c r="AJ13" s="3187"/>
      <c r="AK13" s="3187">
        <v>44834</v>
      </c>
      <c r="AL13" s="3187">
        <v>44028</v>
      </c>
      <c r="AM13" s="3188"/>
      <c r="AN13" s="3188"/>
      <c r="AO13" s="3188"/>
      <c r="AP13" s="3188"/>
      <c r="AQ13" s="3188"/>
      <c r="AR13" s="3188"/>
      <c r="AS13" s="3188"/>
      <c r="AT13" s="3188"/>
    </row>
    <row r="14" spans="1:46" ht="26.1" customHeight="1">
      <c r="A14" s="3185">
        <v>21</v>
      </c>
      <c r="B14" s="3185" t="s">
        <v>3488</v>
      </c>
      <c r="C14" s="3185" t="s">
        <v>3489</v>
      </c>
      <c r="D14" s="3185" t="s">
        <v>3490</v>
      </c>
      <c r="E14" s="3185" t="s">
        <v>3491</v>
      </c>
      <c r="F14" s="3185" t="s">
        <v>3538</v>
      </c>
      <c r="G14" s="3185" t="s">
        <v>3493</v>
      </c>
      <c r="H14" s="3185" t="s">
        <v>3509</v>
      </c>
      <c r="I14" s="3185" t="s">
        <v>3495</v>
      </c>
      <c r="J14" s="3185" t="s">
        <v>3389</v>
      </c>
      <c r="K14" s="3185" t="s">
        <v>3496</v>
      </c>
      <c r="L14" s="3186">
        <v>114.02</v>
      </c>
      <c r="M14" s="3186">
        <v>92.93</v>
      </c>
      <c r="N14" s="3191">
        <v>114.02</v>
      </c>
      <c r="O14" s="3186">
        <v>92.93</v>
      </c>
      <c r="P14" s="3186">
        <v>12539.99</v>
      </c>
      <c r="Q14" s="3186">
        <v>15385.88</v>
      </c>
      <c r="R14" s="3186">
        <v>1429810</v>
      </c>
      <c r="S14" s="3186">
        <v>15105.1921</v>
      </c>
      <c r="T14" s="3186">
        <v>18533.240099999999</v>
      </c>
      <c r="U14" s="3186">
        <v>1722294</v>
      </c>
      <c r="V14" s="3186"/>
      <c r="W14" s="3186"/>
      <c r="X14" s="3186"/>
      <c r="Y14" s="3186"/>
      <c r="Z14" s="3186">
        <v>0</v>
      </c>
      <c r="AA14" s="3186"/>
      <c r="AB14" s="3186">
        <v>0</v>
      </c>
      <c r="AC14" s="3187">
        <v>44028</v>
      </c>
      <c r="AD14" s="3187">
        <v>44434.607160497697</v>
      </c>
      <c r="AE14" s="3187">
        <v>44090.402999074096</v>
      </c>
      <c r="AF14" s="3187"/>
      <c r="AG14" s="3187"/>
      <c r="AH14" s="3187"/>
      <c r="AI14" s="3188"/>
      <c r="AJ14" s="3187"/>
      <c r="AK14" s="3187"/>
      <c r="AL14" s="3187">
        <v>44028</v>
      </c>
      <c r="AM14" s="3188"/>
      <c r="AN14" s="3188"/>
      <c r="AO14" s="3188"/>
      <c r="AP14" s="3188"/>
      <c r="AQ14" s="3188"/>
      <c r="AR14" s="3188"/>
      <c r="AS14" s="3188"/>
      <c r="AT14" s="3188"/>
    </row>
    <row r="15" spans="1:46" ht="26.1" customHeight="1">
      <c r="A15" s="3185">
        <v>23</v>
      </c>
      <c r="B15" s="3185" t="s">
        <v>3488</v>
      </c>
      <c r="C15" s="3185" t="s">
        <v>3489</v>
      </c>
      <c r="D15" s="3185" t="s">
        <v>3490</v>
      </c>
      <c r="E15" s="3185" t="s">
        <v>3491</v>
      </c>
      <c r="F15" s="3185" t="s">
        <v>3538</v>
      </c>
      <c r="G15" s="3185" t="s">
        <v>3508</v>
      </c>
      <c r="H15" s="3185" t="s">
        <v>3509</v>
      </c>
      <c r="I15" s="3185" t="s">
        <v>3495</v>
      </c>
      <c r="J15" s="3185" t="s">
        <v>3389</v>
      </c>
      <c r="K15" s="3185" t="s">
        <v>3496</v>
      </c>
      <c r="L15" s="3186">
        <v>114.02</v>
      </c>
      <c r="M15" s="3186">
        <v>92.93</v>
      </c>
      <c r="N15" s="3191">
        <v>114.02</v>
      </c>
      <c r="O15" s="3186">
        <v>92.93</v>
      </c>
      <c r="P15" s="3186">
        <v>4300</v>
      </c>
      <c r="Q15" s="3186">
        <v>5275.86</v>
      </c>
      <c r="R15" s="3186">
        <v>490286</v>
      </c>
      <c r="S15" s="3186">
        <v>4300</v>
      </c>
      <c r="T15" s="3186">
        <v>5275.8635999999997</v>
      </c>
      <c r="U15" s="3186">
        <v>490286</v>
      </c>
      <c r="V15" s="3186"/>
      <c r="W15" s="3186"/>
      <c r="X15" s="3186"/>
      <c r="Y15" s="3186"/>
      <c r="Z15" s="3186">
        <v>0</v>
      </c>
      <c r="AA15" s="3186"/>
      <c r="AB15" s="3186">
        <v>0</v>
      </c>
      <c r="AC15" s="3187">
        <v>44028</v>
      </c>
      <c r="AD15" s="3187">
        <v>45264.773614039397</v>
      </c>
      <c r="AE15" s="3187">
        <v>44090.402999074096</v>
      </c>
      <c r="AF15" s="3187"/>
      <c r="AG15" s="3187"/>
      <c r="AH15" s="3188"/>
      <c r="AI15" s="3188"/>
      <c r="AJ15" s="3187"/>
      <c r="AK15" s="3187">
        <v>44834</v>
      </c>
      <c r="AL15" s="3187">
        <v>44028</v>
      </c>
      <c r="AM15" s="3188"/>
      <c r="AN15" s="3188"/>
      <c r="AO15" s="3188"/>
      <c r="AP15" s="3188"/>
      <c r="AQ15" s="3188"/>
      <c r="AR15" s="3188"/>
      <c r="AS15" s="3188"/>
      <c r="AT15" s="3188"/>
    </row>
    <row r="16" spans="1:46" ht="26.1" customHeight="1">
      <c r="A16" s="3185">
        <v>24</v>
      </c>
      <c r="B16" s="3185" t="s">
        <v>3488</v>
      </c>
      <c r="C16" s="3185" t="s">
        <v>3489</v>
      </c>
      <c r="D16" s="3185" t="s">
        <v>3490</v>
      </c>
      <c r="E16" s="3185" t="s">
        <v>3491</v>
      </c>
      <c r="F16" s="3185" t="s">
        <v>3538</v>
      </c>
      <c r="G16" s="3185" t="s">
        <v>3510</v>
      </c>
      <c r="H16" s="3185" t="s">
        <v>3509</v>
      </c>
      <c r="I16" s="3185" t="s">
        <v>3495</v>
      </c>
      <c r="J16" s="3185" t="s">
        <v>3389</v>
      </c>
      <c r="K16" s="3185" t="s">
        <v>3496</v>
      </c>
      <c r="L16" s="3186">
        <v>114.02</v>
      </c>
      <c r="M16" s="3186">
        <v>92.93</v>
      </c>
      <c r="N16" s="3191">
        <v>114.02</v>
      </c>
      <c r="O16" s="3186">
        <v>92.93</v>
      </c>
      <c r="P16" s="3186">
        <v>4300</v>
      </c>
      <c r="Q16" s="3186">
        <v>5275.86</v>
      </c>
      <c r="R16" s="3186">
        <v>490286</v>
      </c>
      <c r="S16" s="3186">
        <v>4300</v>
      </c>
      <c r="T16" s="3186">
        <v>5275.8635999999997</v>
      </c>
      <c r="U16" s="3186">
        <v>490286</v>
      </c>
      <c r="V16" s="3186"/>
      <c r="W16" s="3186"/>
      <c r="X16" s="3186"/>
      <c r="Y16" s="3186"/>
      <c r="Z16" s="3186">
        <v>0</v>
      </c>
      <c r="AA16" s="3186"/>
      <c r="AB16" s="3186">
        <v>0</v>
      </c>
      <c r="AC16" s="3187">
        <v>44028</v>
      </c>
      <c r="AD16" s="3187">
        <v>45264.773614039397</v>
      </c>
      <c r="AE16" s="3187">
        <v>44090.402999074096</v>
      </c>
      <c r="AF16" s="3187"/>
      <c r="AG16" s="3187"/>
      <c r="AH16" s="3188"/>
      <c r="AI16" s="3188"/>
      <c r="AJ16" s="3187"/>
      <c r="AK16" s="3187">
        <v>44834</v>
      </c>
      <c r="AL16" s="3187">
        <v>44028</v>
      </c>
      <c r="AM16" s="3188"/>
      <c r="AN16" s="3188"/>
      <c r="AO16" s="3188"/>
      <c r="AP16" s="3188"/>
      <c r="AQ16" s="3188"/>
      <c r="AR16" s="3188"/>
      <c r="AS16" s="3188"/>
      <c r="AT16" s="3188"/>
    </row>
    <row r="17" spans="1:46" ht="26.1" customHeight="1">
      <c r="A17" s="3185">
        <v>25</v>
      </c>
      <c r="B17" s="3185" t="s">
        <v>3488</v>
      </c>
      <c r="C17" s="3185" t="s">
        <v>3489</v>
      </c>
      <c r="D17" s="3185" t="s">
        <v>3490</v>
      </c>
      <c r="E17" s="3185" t="s">
        <v>3491</v>
      </c>
      <c r="F17" s="3185" t="s">
        <v>3538</v>
      </c>
      <c r="G17" s="3185" t="s">
        <v>3511</v>
      </c>
      <c r="H17" s="3185" t="s">
        <v>3509</v>
      </c>
      <c r="I17" s="3185" t="s">
        <v>3495</v>
      </c>
      <c r="J17" s="3185" t="s">
        <v>3389</v>
      </c>
      <c r="K17" s="3185" t="s">
        <v>3496</v>
      </c>
      <c r="L17" s="3186">
        <v>114.02</v>
      </c>
      <c r="M17" s="3186">
        <v>92.93</v>
      </c>
      <c r="N17" s="3191">
        <v>114.02</v>
      </c>
      <c r="O17" s="3186">
        <v>92.93</v>
      </c>
      <c r="P17" s="3186">
        <v>4350</v>
      </c>
      <c r="Q17" s="3186">
        <v>5337.21</v>
      </c>
      <c r="R17" s="3186">
        <v>495987</v>
      </c>
      <c r="S17" s="3186">
        <v>4350</v>
      </c>
      <c r="T17" s="3186">
        <v>5337.2107999999998</v>
      </c>
      <c r="U17" s="3186">
        <v>495987</v>
      </c>
      <c r="V17" s="3186"/>
      <c r="W17" s="3186"/>
      <c r="X17" s="3186"/>
      <c r="Y17" s="3186"/>
      <c r="Z17" s="3186">
        <v>0</v>
      </c>
      <c r="AA17" s="3186"/>
      <c r="AB17" s="3186">
        <v>0</v>
      </c>
      <c r="AC17" s="3187">
        <v>44028</v>
      </c>
      <c r="AD17" s="3187">
        <v>45264.773614039397</v>
      </c>
      <c r="AE17" s="3187">
        <v>44090.402999074096</v>
      </c>
      <c r="AF17" s="3187"/>
      <c r="AG17" s="3187"/>
      <c r="AH17" s="3188"/>
      <c r="AI17" s="3188"/>
      <c r="AJ17" s="3187"/>
      <c r="AK17" s="3187">
        <v>44834</v>
      </c>
      <c r="AL17" s="3187">
        <v>44028</v>
      </c>
      <c r="AM17" s="3188"/>
      <c r="AN17" s="3188"/>
      <c r="AO17" s="3188"/>
      <c r="AP17" s="3188"/>
      <c r="AQ17" s="3188"/>
      <c r="AR17" s="3188"/>
      <c r="AS17" s="3188"/>
      <c r="AT17" s="3188"/>
    </row>
    <row r="18" spans="1:46" ht="26.1" customHeight="1">
      <c r="A18" s="3185">
        <v>26</v>
      </c>
      <c r="B18" s="3185" t="s">
        <v>3488</v>
      </c>
      <c r="C18" s="3185" t="s">
        <v>3489</v>
      </c>
      <c r="D18" s="3185" t="s">
        <v>3490</v>
      </c>
      <c r="E18" s="3185" t="s">
        <v>3491</v>
      </c>
      <c r="F18" s="3185" t="s">
        <v>3538</v>
      </c>
      <c r="G18" s="3185" t="s">
        <v>3512</v>
      </c>
      <c r="H18" s="3185" t="s">
        <v>3509</v>
      </c>
      <c r="I18" s="3185" t="s">
        <v>3495</v>
      </c>
      <c r="J18" s="3185" t="s">
        <v>3389</v>
      </c>
      <c r="K18" s="3185" t="s">
        <v>3496</v>
      </c>
      <c r="L18" s="3186">
        <v>114.02</v>
      </c>
      <c r="M18" s="3186">
        <v>92.93</v>
      </c>
      <c r="N18" s="3191">
        <v>114.02</v>
      </c>
      <c r="O18" s="3186">
        <v>92.93</v>
      </c>
      <c r="P18" s="3186">
        <v>4350</v>
      </c>
      <c r="Q18" s="3186">
        <v>5337.21</v>
      </c>
      <c r="R18" s="3186">
        <v>495987</v>
      </c>
      <c r="S18" s="3186">
        <v>4350</v>
      </c>
      <c r="T18" s="3186">
        <v>5337.2107999999998</v>
      </c>
      <c r="U18" s="3186">
        <v>495987</v>
      </c>
      <c r="V18" s="3186"/>
      <c r="W18" s="3186"/>
      <c r="X18" s="3186"/>
      <c r="Y18" s="3186"/>
      <c r="Z18" s="3186">
        <v>0</v>
      </c>
      <c r="AA18" s="3186"/>
      <c r="AB18" s="3186">
        <v>0</v>
      </c>
      <c r="AC18" s="3187">
        <v>44028</v>
      </c>
      <c r="AD18" s="3187">
        <v>45264.773614039397</v>
      </c>
      <c r="AE18" s="3187">
        <v>44090.402999074096</v>
      </c>
      <c r="AF18" s="3187"/>
      <c r="AG18" s="3187"/>
      <c r="AH18" s="3188"/>
      <c r="AI18" s="3188"/>
      <c r="AJ18" s="3187"/>
      <c r="AK18" s="3187">
        <v>44834</v>
      </c>
      <c r="AL18" s="3187">
        <v>44028</v>
      </c>
      <c r="AM18" s="3188"/>
      <c r="AN18" s="3188"/>
      <c r="AO18" s="3188"/>
      <c r="AP18" s="3188"/>
      <c r="AQ18" s="3188"/>
      <c r="AR18" s="3188"/>
      <c r="AS18" s="3188"/>
      <c r="AT18" s="3188"/>
    </row>
    <row r="19" spans="1:46" ht="26.1" customHeight="1">
      <c r="A19" s="3185">
        <v>27</v>
      </c>
      <c r="B19" s="3185" t="s">
        <v>3488</v>
      </c>
      <c r="C19" s="3185" t="s">
        <v>3489</v>
      </c>
      <c r="D19" s="3185" t="s">
        <v>3490</v>
      </c>
      <c r="E19" s="3185" t="s">
        <v>3491</v>
      </c>
      <c r="F19" s="3185" t="s">
        <v>3538</v>
      </c>
      <c r="G19" s="3185" t="s">
        <v>3513</v>
      </c>
      <c r="H19" s="3185" t="s">
        <v>3509</v>
      </c>
      <c r="I19" s="3185" t="s">
        <v>3495</v>
      </c>
      <c r="J19" s="3185" t="s">
        <v>3389</v>
      </c>
      <c r="K19" s="3185" t="s">
        <v>3496</v>
      </c>
      <c r="L19" s="3186">
        <v>114.02</v>
      </c>
      <c r="M19" s="3186">
        <v>92.93</v>
      </c>
      <c r="N19" s="3191">
        <v>114.02</v>
      </c>
      <c r="O19" s="3186">
        <v>92.93</v>
      </c>
      <c r="P19" s="3186">
        <v>4400</v>
      </c>
      <c r="Q19" s="3186">
        <v>5398.56</v>
      </c>
      <c r="R19" s="3186">
        <v>501688</v>
      </c>
      <c r="S19" s="3186">
        <v>4400</v>
      </c>
      <c r="T19" s="3186">
        <v>5398.5581000000002</v>
      </c>
      <c r="U19" s="3186">
        <v>501688</v>
      </c>
      <c r="V19" s="3186"/>
      <c r="W19" s="3186"/>
      <c r="X19" s="3186"/>
      <c r="Y19" s="3186"/>
      <c r="Z19" s="3186">
        <v>0</v>
      </c>
      <c r="AA19" s="3186"/>
      <c r="AB19" s="3186">
        <v>0</v>
      </c>
      <c r="AC19" s="3187">
        <v>44028</v>
      </c>
      <c r="AD19" s="3187">
        <v>45264.773614039397</v>
      </c>
      <c r="AE19" s="3187">
        <v>44090.402999074096</v>
      </c>
      <c r="AF19" s="3187"/>
      <c r="AG19" s="3187"/>
      <c r="AH19" s="3187"/>
      <c r="AI19" s="3187"/>
      <c r="AJ19" s="3187"/>
      <c r="AK19" s="3187">
        <v>44834</v>
      </c>
      <c r="AL19" s="3187">
        <v>44028</v>
      </c>
      <c r="AM19" s="3188"/>
      <c r="AN19" s="3188"/>
      <c r="AO19" s="3188"/>
      <c r="AP19" s="3188"/>
      <c r="AQ19" s="3188"/>
      <c r="AR19" s="3188"/>
      <c r="AS19" s="3188"/>
      <c r="AT19" s="3188"/>
    </row>
    <row r="20" spans="1:46" ht="26.1" customHeight="1">
      <c r="A20" s="3185">
        <v>28</v>
      </c>
      <c r="B20" s="3185" t="s">
        <v>3488</v>
      </c>
      <c r="C20" s="3185" t="s">
        <v>3489</v>
      </c>
      <c r="D20" s="3185" t="s">
        <v>3490</v>
      </c>
      <c r="E20" s="3185" t="s">
        <v>3491</v>
      </c>
      <c r="F20" s="3185" t="s">
        <v>3538</v>
      </c>
      <c r="G20" s="3185" t="s">
        <v>3514</v>
      </c>
      <c r="H20" s="3185" t="s">
        <v>3509</v>
      </c>
      <c r="I20" s="3185" t="s">
        <v>3495</v>
      </c>
      <c r="J20" s="3185" t="s">
        <v>3389</v>
      </c>
      <c r="K20" s="3185" t="s">
        <v>3496</v>
      </c>
      <c r="L20" s="3186">
        <v>114.02</v>
      </c>
      <c r="M20" s="3186">
        <v>92.93</v>
      </c>
      <c r="N20" s="3191">
        <v>114.02</v>
      </c>
      <c r="O20" s="3186">
        <v>92.93</v>
      </c>
      <c r="P20" s="3186">
        <v>4400</v>
      </c>
      <c r="Q20" s="3186">
        <v>5398.56</v>
      </c>
      <c r="R20" s="3186">
        <v>501688</v>
      </c>
      <c r="S20" s="3186">
        <v>4400</v>
      </c>
      <c r="T20" s="3186">
        <v>5398.5581000000002</v>
      </c>
      <c r="U20" s="3186">
        <v>501688</v>
      </c>
      <c r="V20" s="3186"/>
      <c r="W20" s="3186"/>
      <c r="X20" s="3186"/>
      <c r="Y20" s="3186"/>
      <c r="Z20" s="3186">
        <v>0</v>
      </c>
      <c r="AA20" s="3186"/>
      <c r="AB20" s="3186">
        <v>0</v>
      </c>
      <c r="AC20" s="3187">
        <v>44028</v>
      </c>
      <c r="AD20" s="3187">
        <v>45264.773614039397</v>
      </c>
      <c r="AE20" s="3187">
        <v>44090.402999074096</v>
      </c>
      <c r="AF20" s="3187"/>
      <c r="AG20" s="3187"/>
      <c r="AH20" s="3187"/>
      <c r="AI20" s="3187"/>
      <c r="AJ20" s="3187"/>
      <c r="AK20" s="3188">
        <v>44834</v>
      </c>
      <c r="AL20" s="3187">
        <v>44028</v>
      </c>
      <c r="AM20" s="3188"/>
      <c r="AN20" s="3188"/>
      <c r="AO20" s="3188"/>
      <c r="AP20" s="3188"/>
      <c r="AQ20" s="3188"/>
      <c r="AR20" s="3188"/>
      <c r="AS20" s="3188"/>
      <c r="AT20" s="3188"/>
    </row>
    <row r="21" spans="1:46" ht="26.1" customHeight="1">
      <c r="A21" s="3185">
        <v>29</v>
      </c>
      <c r="B21" s="3185" t="s">
        <v>3488</v>
      </c>
      <c r="C21" s="3185" t="s">
        <v>3489</v>
      </c>
      <c r="D21" s="3185" t="s">
        <v>3490</v>
      </c>
      <c r="E21" s="3185" t="s">
        <v>3491</v>
      </c>
      <c r="F21" s="3185" t="s">
        <v>3538</v>
      </c>
      <c r="G21" s="3185" t="s">
        <v>3515</v>
      </c>
      <c r="H21" s="3185" t="s">
        <v>3509</v>
      </c>
      <c r="I21" s="3185" t="s">
        <v>3495</v>
      </c>
      <c r="J21" s="3185" t="s">
        <v>3389</v>
      </c>
      <c r="K21" s="3185" t="s">
        <v>3496</v>
      </c>
      <c r="L21" s="3186">
        <v>114.02</v>
      </c>
      <c r="M21" s="3186">
        <v>92.93</v>
      </c>
      <c r="N21" s="3191">
        <v>114.02</v>
      </c>
      <c r="O21" s="3186">
        <v>92.93</v>
      </c>
      <c r="P21" s="3186">
        <v>4600</v>
      </c>
      <c r="Q21" s="3186">
        <v>5643.95</v>
      </c>
      <c r="R21" s="3186">
        <v>524492</v>
      </c>
      <c r="S21" s="3186">
        <v>4600</v>
      </c>
      <c r="T21" s="3186">
        <v>5643.9471000000003</v>
      </c>
      <c r="U21" s="3186">
        <v>524492</v>
      </c>
      <c r="V21" s="3186"/>
      <c r="W21" s="3186"/>
      <c r="X21" s="3186"/>
      <c r="Y21" s="3186"/>
      <c r="Z21" s="3186">
        <v>0</v>
      </c>
      <c r="AA21" s="3186"/>
      <c r="AB21" s="3186">
        <v>0</v>
      </c>
      <c r="AC21" s="3187">
        <v>44028</v>
      </c>
      <c r="AD21" s="3187">
        <v>45264.773614039397</v>
      </c>
      <c r="AE21" s="3187">
        <v>44090.402999074096</v>
      </c>
      <c r="AF21" s="3187"/>
      <c r="AG21" s="3187"/>
      <c r="AH21" s="3188"/>
      <c r="AI21" s="3188"/>
      <c r="AJ21" s="3187"/>
      <c r="AK21" s="3187">
        <v>44834</v>
      </c>
      <c r="AL21" s="3187">
        <v>44028</v>
      </c>
      <c r="AM21" s="3188"/>
      <c r="AN21" s="3188"/>
      <c r="AO21" s="3188"/>
      <c r="AP21" s="3188"/>
      <c r="AQ21" s="3188"/>
      <c r="AR21" s="3188"/>
      <c r="AS21" s="3188"/>
      <c r="AT21" s="3188"/>
    </row>
    <row r="22" spans="1:46" ht="26.1" customHeight="1">
      <c r="A22" s="3185">
        <v>35</v>
      </c>
      <c r="B22" s="3185" t="s">
        <v>3488</v>
      </c>
      <c r="C22" s="3185" t="s">
        <v>3489</v>
      </c>
      <c r="D22" s="3185" t="s">
        <v>3490</v>
      </c>
      <c r="E22" s="3185" t="s">
        <v>3491</v>
      </c>
      <c r="F22" s="3185" t="s">
        <v>3538</v>
      </c>
      <c r="G22" s="3185" t="s">
        <v>3529</v>
      </c>
      <c r="H22" s="3185" t="s">
        <v>3509</v>
      </c>
      <c r="I22" s="3185" t="s">
        <v>3495</v>
      </c>
      <c r="J22" s="3185" t="s">
        <v>3389</v>
      </c>
      <c r="K22" s="3185" t="s">
        <v>3496</v>
      </c>
      <c r="L22" s="3186">
        <v>114.02</v>
      </c>
      <c r="M22" s="3186">
        <v>92.93</v>
      </c>
      <c r="N22" s="3191">
        <v>114.02</v>
      </c>
      <c r="O22" s="3186">
        <v>92.93</v>
      </c>
      <c r="P22" s="3186">
        <v>4800</v>
      </c>
      <c r="Q22" s="3186">
        <v>5889.34</v>
      </c>
      <c r="R22" s="3186">
        <v>547296</v>
      </c>
      <c r="S22" s="3186">
        <v>4800</v>
      </c>
      <c r="T22" s="3186">
        <v>5889.3361000000004</v>
      </c>
      <c r="U22" s="3186">
        <v>547296</v>
      </c>
      <c r="V22" s="3186"/>
      <c r="W22" s="3186"/>
      <c r="X22" s="3186"/>
      <c r="Y22" s="3186"/>
      <c r="Z22" s="3186">
        <v>0</v>
      </c>
      <c r="AA22" s="3186"/>
      <c r="AB22" s="3186">
        <v>0</v>
      </c>
      <c r="AC22" s="3187">
        <v>44028</v>
      </c>
      <c r="AD22" s="3187">
        <v>45264.773614039397</v>
      </c>
      <c r="AE22" s="3187">
        <v>44090.402999074096</v>
      </c>
      <c r="AF22" s="3187"/>
      <c r="AG22" s="3187"/>
      <c r="AH22" s="3187"/>
      <c r="AI22" s="3187"/>
      <c r="AJ22" s="3187"/>
      <c r="AK22" s="3187">
        <v>44834</v>
      </c>
      <c r="AL22" s="3187">
        <v>44028</v>
      </c>
      <c r="AM22" s="3188"/>
      <c r="AN22" s="3188"/>
      <c r="AO22" s="3188"/>
      <c r="AP22" s="3188"/>
      <c r="AQ22" s="3188"/>
      <c r="AR22" s="3188"/>
      <c r="AS22" s="3188"/>
      <c r="AT22" s="3188"/>
    </row>
    <row r="23" spans="1:46" ht="26.1" customHeight="1">
      <c r="A23" s="3185">
        <v>36</v>
      </c>
      <c r="B23" s="3185" t="s">
        <v>3488</v>
      </c>
      <c r="C23" s="3185" t="s">
        <v>3489</v>
      </c>
      <c r="D23" s="3185" t="s">
        <v>3490</v>
      </c>
      <c r="E23" s="3185" t="s">
        <v>3491</v>
      </c>
      <c r="F23" s="3185" t="s">
        <v>3538</v>
      </c>
      <c r="G23" s="3185" t="s">
        <v>3530</v>
      </c>
      <c r="H23" s="3185" t="s">
        <v>3509</v>
      </c>
      <c r="I23" s="3185" t="s">
        <v>3495</v>
      </c>
      <c r="J23" s="3185" t="s">
        <v>3389</v>
      </c>
      <c r="K23" s="3185" t="s">
        <v>3496</v>
      </c>
      <c r="L23" s="3186">
        <v>114.02</v>
      </c>
      <c r="M23" s="3186">
        <v>92.93</v>
      </c>
      <c r="N23" s="3191">
        <v>114.02</v>
      </c>
      <c r="O23" s="3186">
        <v>92.93</v>
      </c>
      <c r="P23" s="3186">
        <v>4800</v>
      </c>
      <c r="Q23" s="3186">
        <v>5889.34</v>
      </c>
      <c r="R23" s="3186">
        <v>547296</v>
      </c>
      <c r="S23" s="3186">
        <v>4800</v>
      </c>
      <c r="T23" s="3186">
        <v>5889.3361000000004</v>
      </c>
      <c r="U23" s="3186">
        <v>547296</v>
      </c>
      <c r="V23" s="3186"/>
      <c r="W23" s="3186"/>
      <c r="X23" s="3186"/>
      <c r="Y23" s="3186"/>
      <c r="Z23" s="3186">
        <v>0</v>
      </c>
      <c r="AA23" s="3186"/>
      <c r="AB23" s="3186">
        <v>0</v>
      </c>
      <c r="AC23" s="3187">
        <v>44028</v>
      </c>
      <c r="AD23" s="3187">
        <v>45264.773614039397</v>
      </c>
      <c r="AE23" s="3187">
        <v>44090.402999074096</v>
      </c>
      <c r="AF23" s="3187"/>
      <c r="AG23" s="3187"/>
      <c r="AH23" s="3188"/>
      <c r="AI23" s="3188"/>
      <c r="AJ23" s="3187"/>
      <c r="AK23" s="3187">
        <v>44834</v>
      </c>
      <c r="AL23" s="3187">
        <v>44028</v>
      </c>
      <c r="AM23" s="3188"/>
      <c r="AN23" s="3188"/>
      <c r="AO23" s="3188"/>
      <c r="AP23" s="3188"/>
      <c r="AQ23" s="3188"/>
      <c r="AR23" s="3188"/>
      <c r="AS23" s="3188"/>
      <c r="AT23" s="3188"/>
    </row>
    <row r="24" spans="1:46" ht="26.1" customHeight="1">
      <c r="A24" s="3185">
        <v>37</v>
      </c>
      <c r="B24" s="3185" t="s">
        <v>3488</v>
      </c>
      <c r="C24" s="3185" t="s">
        <v>3489</v>
      </c>
      <c r="D24" s="3185" t="s">
        <v>3490</v>
      </c>
      <c r="E24" s="3185" t="s">
        <v>3491</v>
      </c>
      <c r="F24" s="3185" t="s">
        <v>3538</v>
      </c>
      <c r="G24" s="3185" t="s">
        <v>3532</v>
      </c>
      <c r="H24" s="3185" t="s">
        <v>3509</v>
      </c>
      <c r="I24" s="3185" t="s">
        <v>3495</v>
      </c>
      <c r="J24" s="3185" t="s">
        <v>3389</v>
      </c>
      <c r="K24" s="3185" t="s">
        <v>3496</v>
      </c>
      <c r="L24" s="3186">
        <v>114.02</v>
      </c>
      <c r="M24" s="3186">
        <v>92.93</v>
      </c>
      <c r="N24" s="3191">
        <v>114.02</v>
      </c>
      <c r="O24" s="3186">
        <v>92.93</v>
      </c>
      <c r="P24" s="3186">
        <v>4800</v>
      </c>
      <c r="Q24" s="3186">
        <v>5889.34</v>
      </c>
      <c r="R24" s="3186">
        <v>547296</v>
      </c>
      <c r="S24" s="3186">
        <v>4800</v>
      </c>
      <c r="T24" s="3186">
        <v>5889.3361000000004</v>
      </c>
      <c r="U24" s="3186">
        <v>547296</v>
      </c>
      <c r="V24" s="3186"/>
      <c r="W24" s="3186"/>
      <c r="X24" s="3186"/>
      <c r="Y24" s="3186"/>
      <c r="Z24" s="3186">
        <v>0</v>
      </c>
      <c r="AA24" s="3186"/>
      <c r="AB24" s="3186">
        <v>0</v>
      </c>
      <c r="AC24" s="3187">
        <v>44028</v>
      </c>
      <c r="AD24" s="3187">
        <v>45264.773614039397</v>
      </c>
      <c r="AE24" s="3187">
        <v>44090.402999074096</v>
      </c>
      <c r="AF24" s="3187"/>
      <c r="AG24" s="3187"/>
      <c r="AH24" s="3188"/>
      <c r="AI24" s="3188"/>
      <c r="AJ24" s="3187"/>
      <c r="AK24" s="3187">
        <v>44834</v>
      </c>
      <c r="AL24" s="3187">
        <v>44028</v>
      </c>
      <c r="AM24" s="3188"/>
      <c r="AN24" s="3188"/>
      <c r="AO24" s="3188"/>
      <c r="AP24" s="3188"/>
      <c r="AQ24" s="3188"/>
      <c r="AR24" s="3188"/>
      <c r="AS24" s="3188"/>
      <c r="AT24" s="3188"/>
    </row>
    <row r="25" spans="1:46" ht="26.1" customHeight="1">
      <c r="A25" s="3185">
        <v>39</v>
      </c>
      <c r="B25" s="3185" t="s">
        <v>3488</v>
      </c>
      <c r="C25" s="3185" t="s">
        <v>3489</v>
      </c>
      <c r="D25" s="3185" t="s">
        <v>3490</v>
      </c>
      <c r="E25" s="3185" t="s">
        <v>3491</v>
      </c>
      <c r="F25" s="3185" t="s">
        <v>3538</v>
      </c>
      <c r="G25" s="3185" t="s">
        <v>3536</v>
      </c>
      <c r="H25" s="3185" t="s">
        <v>3509</v>
      </c>
      <c r="I25" s="3185" t="s">
        <v>3495</v>
      </c>
      <c r="J25" s="3185" t="s">
        <v>3389</v>
      </c>
      <c r="K25" s="3185" t="s">
        <v>3496</v>
      </c>
      <c r="L25" s="3186">
        <v>151.4</v>
      </c>
      <c r="M25" s="3186">
        <v>123.4</v>
      </c>
      <c r="N25" s="3191">
        <v>151.4</v>
      </c>
      <c r="O25" s="3186">
        <v>123.4</v>
      </c>
      <c r="P25" s="3186">
        <v>4400</v>
      </c>
      <c r="Q25" s="3186">
        <v>5398.38</v>
      </c>
      <c r="R25" s="3186">
        <v>666160</v>
      </c>
      <c r="S25" s="3186">
        <v>4400</v>
      </c>
      <c r="T25" s="3186">
        <v>5398.3792999999996</v>
      </c>
      <c r="U25" s="3186">
        <v>666160</v>
      </c>
      <c r="V25" s="3186"/>
      <c r="W25" s="3186"/>
      <c r="X25" s="3186"/>
      <c r="Y25" s="3186"/>
      <c r="Z25" s="3186">
        <v>0</v>
      </c>
      <c r="AA25" s="3186"/>
      <c r="AB25" s="3186">
        <v>0</v>
      </c>
      <c r="AC25" s="3187">
        <v>44028</v>
      </c>
      <c r="AD25" s="3187">
        <v>45264.773614039397</v>
      </c>
      <c r="AE25" s="3187">
        <v>44090.402999074096</v>
      </c>
      <c r="AF25" s="3187"/>
      <c r="AG25" s="3187"/>
      <c r="AH25" s="3188"/>
      <c r="AI25" s="3188"/>
      <c r="AJ25" s="3187"/>
      <c r="AK25" s="3187">
        <v>44834</v>
      </c>
      <c r="AL25" s="3187">
        <v>44028</v>
      </c>
      <c r="AM25" s="3188"/>
      <c r="AN25" s="3188"/>
      <c r="AO25" s="3188"/>
      <c r="AP25" s="3188"/>
      <c r="AQ25" s="3188"/>
      <c r="AR25" s="3188"/>
      <c r="AS25" s="3188"/>
      <c r="AT25" s="3188"/>
    </row>
    <row r="26" spans="1:46" ht="26.1" customHeight="1">
      <c r="A26" s="3185">
        <v>40</v>
      </c>
      <c r="B26" s="3185" t="s">
        <v>3488</v>
      </c>
      <c r="C26" s="3185" t="s">
        <v>3489</v>
      </c>
      <c r="D26" s="3185" t="s">
        <v>3490</v>
      </c>
      <c r="E26" s="3185" t="s">
        <v>3491</v>
      </c>
      <c r="F26" s="3185" t="s">
        <v>3538</v>
      </c>
      <c r="G26" s="3185" t="s">
        <v>3537</v>
      </c>
      <c r="H26" s="3185" t="s">
        <v>3509</v>
      </c>
      <c r="I26" s="3185" t="s">
        <v>3495</v>
      </c>
      <c r="J26" s="3185" t="s">
        <v>3389</v>
      </c>
      <c r="K26" s="3185" t="s">
        <v>3496</v>
      </c>
      <c r="L26" s="3186">
        <v>151.4</v>
      </c>
      <c r="M26" s="3186">
        <v>123.4</v>
      </c>
      <c r="N26" s="3191">
        <v>151.4</v>
      </c>
      <c r="O26" s="3186">
        <v>123.4</v>
      </c>
      <c r="P26" s="3186">
        <v>4400</v>
      </c>
      <c r="Q26" s="3186">
        <v>5398.38</v>
      </c>
      <c r="R26" s="3186">
        <v>666160</v>
      </c>
      <c r="S26" s="3186">
        <v>4400</v>
      </c>
      <c r="T26" s="3186">
        <v>5398.3792999999996</v>
      </c>
      <c r="U26" s="3186">
        <v>666160</v>
      </c>
      <c r="V26" s="3186"/>
      <c r="W26" s="3186"/>
      <c r="X26" s="3186"/>
      <c r="Y26" s="3186"/>
      <c r="Z26" s="3186">
        <v>0</v>
      </c>
      <c r="AA26" s="3186"/>
      <c r="AB26" s="3186">
        <v>0</v>
      </c>
      <c r="AC26" s="3187">
        <v>44028</v>
      </c>
      <c r="AD26" s="3187">
        <v>45264.773614039397</v>
      </c>
      <c r="AE26" s="3187">
        <v>44090.402999074096</v>
      </c>
      <c r="AF26" s="3187"/>
      <c r="AG26" s="3187"/>
      <c r="AH26" s="3187"/>
      <c r="AI26" s="3188"/>
      <c r="AJ26" s="3187"/>
      <c r="AK26" s="3187">
        <v>44834</v>
      </c>
      <c r="AL26" s="3187">
        <v>44028</v>
      </c>
      <c r="AM26" s="3188"/>
      <c r="AN26" s="3188"/>
      <c r="AO26" s="3188"/>
      <c r="AP26" s="3188"/>
      <c r="AQ26" s="3188"/>
      <c r="AR26" s="3188"/>
      <c r="AS26" s="3188"/>
      <c r="AT26" s="3188"/>
    </row>
    <row r="27" spans="1:46" ht="26.1" customHeight="1">
      <c r="A27" s="3185">
        <v>43</v>
      </c>
      <c r="B27" s="3185" t="s">
        <v>3488</v>
      </c>
      <c r="C27" s="3185" t="s">
        <v>3489</v>
      </c>
      <c r="D27" s="3185" t="s">
        <v>3490</v>
      </c>
      <c r="E27" s="3185" t="s">
        <v>3491</v>
      </c>
      <c r="F27" s="3185" t="s">
        <v>3546</v>
      </c>
      <c r="G27" s="3185" t="s">
        <v>3508</v>
      </c>
      <c r="H27" s="3185" t="s">
        <v>3509</v>
      </c>
      <c r="I27" s="3185" t="s">
        <v>3495</v>
      </c>
      <c r="J27" s="3185" t="s">
        <v>3389</v>
      </c>
      <c r="K27" s="3185" t="s">
        <v>3496</v>
      </c>
      <c r="L27" s="3186">
        <v>114.02</v>
      </c>
      <c r="M27" s="3186">
        <v>92.93</v>
      </c>
      <c r="N27" s="3191">
        <v>114.02</v>
      </c>
      <c r="O27" s="3186">
        <v>92.93</v>
      </c>
      <c r="P27" s="3186">
        <v>4300</v>
      </c>
      <c r="Q27" s="3186">
        <v>5275.86</v>
      </c>
      <c r="R27" s="3186">
        <v>490286</v>
      </c>
      <c r="S27" s="3186">
        <v>4300</v>
      </c>
      <c r="T27" s="3186">
        <v>5275.8635999999997</v>
      </c>
      <c r="U27" s="3186">
        <v>490286</v>
      </c>
      <c r="V27" s="3186"/>
      <c r="W27" s="3186"/>
      <c r="X27" s="3186"/>
      <c r="Y27" s="3186"/>
      <c r="Z27" s="3186">
        <v>0</v>
      </c>
      <c r="AA27" s="3186"/>
      <c r="AB27" s="3186">
        <v>0</v>
      </c>
      <c r="AC27" s="3187">
        <v>44028</v>
      </c>
      <c r="AD27" s="3187">
        <v>45264.773614039397</v>
      </c>
      <c r="AE27" s="3187">
        <v>44090.402999074096</v>
      </c>
      <c r="AF27" s="3187"/>
      <c r="AG27" s="3187"/>
      <c r="AH27" s="3187"/>
      <c r="AI27" s="3187"/>
      <c r="AJ27" s="3187"/>
      <c r="AK27" s="3187">
        <v>44834</v>
      </c>
      <c r="AL27" s="3187">
        <v>44028</v>
      </c>
      <c r="AM27" s="3188"/>
      <c r="AN27" s="3188"/>
      <c r="AO27" s="3188"/>
      <c r="AP27" s="3188"/>
      <c r="AQ27" s="3188"/>
      <c r="AR27" s="3188"/>
      <c r="AS27" s="3188"/>
      <c r="AT27" s="3188"/>
    </row>
    <row r="28" spans="1:46" ht="26.1" customHeight="1">
      <c r="A28" s="3185">
        <v>44</v>
      </c>
      <c r="B28" s="3185" t="s">
        <v>3488</v>
      </c>
      <c r="C28" s="3185" t="s">
        <v>3489</v>
      </c>
      <c r="D28" s="3185" t="s">
        <v>3490</v>
      </c>
      <c r="E28" s="3185" t="s">
        <v>3491</v>
      </c>
      <c r="F28" s="3185" t="s">
        <v>3546</v>
      </c>
      <c r="G28" s="3185" t="s">
        <v>3510</v>
      </c>
      <c r="H28" s="3185" t="s">
        <v>3509</v>
      </c>
      <c r="I28" s="3185" t="s">
        <v>3495</v>
      </c>
      <c r="J28" s="3185" t="s">
        <v>3389</v>
      </c>
      <c r="K28" s="3185" t="s">
        <v>3496</v>
      </c>
      <c r="L28" s="3186">
        <v>114.02</v>
      </c>
      <c r="M28" s="3186">
        <v>92.93</v>
      </c>
      <c r="N28" s="3191">
        <v>114.02</v>
      </c>
      <c r="O28" s="3186">
        <v>92.93</v>
      </c>
      <c r="P28" s="3186">
        <v>4300</v>
      </c>
      <c r="Q28" s="3186">
        <v>5275.86</v>
      </c>
      <c r="R28" s="3186">
        <v>490286</v>
      </c>
      <c r="S28" s="3186">
        <v>4300</v>
      </c>
      <c r="T28" s="3186">
        <v>5275.8635999999997</v>
      </c>
      <c r="U28" s="3186">
        <v>490286</v>
      </c>
      <c r="V28" s="3186"/>
      <c r="W28" s="3186"/>
      <c r="X28" s="3186"/>
      <c r="Y28" s="3186"/>
      <c r="Z28" s="3186">
        <v>0</v>
      </c>
      <c r="AA28" s="3186"/>
      <c r="AB28" s="3186">
        <v>0</v>
      </c>
      <c r="AC28" s="3187">
        <v>44028</v>
      </c>
      <c r="AD28" s="3187">
        <v>45264.773614039397</v>
      </c>
      <c r="AE28" s="3187">
        <v>44090.402999074096</v>
      </c>
      <c r="AF28" s="3187"/>
      <c r="AG28" s="3187"/>
      <c r="AH28" s="3188"/>
      <c r="AI28" s="3188"/>
      <c r="AJ28" s="3187"/>
      <c r="AK28" s="3187">
        <v>44834</v>
      </c>
      <c r="AL28" s="3187">
        <v>44028</v>
      </c>
      <c r="AM28" s="3188"/>
      <c r="AN28" s="3188"/>
      <c r="AO28" s="3188"/>
      <c r="AP28" s="3188"/>
      <c r="AQ28" s="3188"/>
      <c r="AR28" s="3188"/>
      <c r="AS28" s="3188"/>
      <c r="AT28" s="3188"/>
    </row>
    <row r="29" spans="1:46" ht="26.1" customHeight="1">
      <c r="A29" s="3185">
        <v>45</v>
      </c>
      <c r="B29" s="3185" t="s">
        <v>3488</v>
      </c>
      <c r="C29" s="3185" t="s">
        <v>3489</v>
      </c>
      <c r="D29" s="3185" t="s">
        <v>3490</v>
      </c>
      <c r="E29" s="3185" t="s">
        <v>3491</v>
      </c>
      <c r="F29" s="3185" t="s">
        <v>3546</v>
      </c>
      <c r="G29" s="3185" t="s">
        <v>3511</v>
      </c>
      <c r="H29" s="3185" t="s">
        <v>3509</v>
      </c>
      <c r="I29" s="3185" t="s">
        <v>3495</v>
      </c>
      <c r="J29" s="3185" t="s">
        <v>3389</v>
      </c>
      <c r="K29" s="3185" t="s">
        <v>3496</v>
      </c>
      <c r="L29" s="3186">
        <v>114.02</v>
      </c>
      <c r="M29" s="3186">
        <v>92.93</v>
      </c>
      <c r="N29" s="3191">
        <v>114.02</v>
      </c>
      <c r="O29" s="3186">
        <v>92.93</v>
      </c>
      <c r="P29" s="3186">
        <v>4350</v>
      </c>
      <c r="Q29" s="3186">
        <v>5337.21</v>
      </c>
      <c r="R29" s="3186">
        <v>495987</v>
      </c>
      <c r="S29" s="3186">
        <v>4350</v>
      </c>
      <c r="T29" s="3186">
        <v>5337.2107999999998</v>
      </c>
      <c r="U29" s="3186">
        <v>495987</v>
      </c>
      <c r="V29" s="3186"/>
      <c r="W29" s="3186"/>
      <c r="X29" s="3186"/>
      <c r="Y29" s="3186"/>
      <c r="Z29" s="3186">
        <v>0</v>
      </c>
      <c r="AA29" s="3186"/>
      <c r="AB29" s="3186">
        <v>0</v>
      </c>
      <c r="AC29" s="3187">
        <v>44028</v>
      </c>
      <c r="AD29" s="3187">
        <v>45264.773614039397</v>
      </c>
      <c r="AE29" s="3187">
        <v>44090.402999074096</v>
      </c>
      <c r="AF29" s="3187"/>
      <c r="AG29" s="3187"/>
      <c r="AH29" s="3187"/>
      <c r="AI29" s="3187"/>
      <c r="AJ29" s="3187"/>
      <c r="AK29" s="3188">
        <v>44834</v>
      </c>
      <c r="AL29" s="3187">
        <v>44028</v>
      </c>
      <c r="AM29" s="3188"/>
      <c r="AN29" s="3188"/>
      <c r="AO29" s="3188"/>
      <c r="AP29" s="3188"/>
      <c r="AQ29" s="3188"/>
      <c r="AR29" s="3188"/>
      <c r="AS29" s="3188"/>
      <c r="AT29" s="3188"/>
    </row>
    <row r="30" spans="1:46" ht="26.1" customHeight="1">
      <c r="A30" s="3185">
        <v>46</v>
      </c>
      <c r="B30" s="3185" t="s">
        <v>3488</v>
      </c>
      <c r="C30" s="3185" t="s">
        <v>3489</v>
      </c>
      <c r="D30" s="3185" t="s">
        <v>3490</v>
      </c>
      <c r="E30" s="3185" t="s">
        <v>3491</v>
      </c>
      <c r="F30" s="3185" t="s">
        <v>3546</v>
      </c>
      <c r="G30" s="3185" t="s">
        <v>3512</v>
      </c>
      <c r="H30" s="3185" t="s">
        <v>3509</v>
      </c>
      <c r="I30" s="3185" t="s">
        <v>3495</v>
      </c>
      <c r="J30" s="3185" t="s">
        <v>3389</v>
      </c>
      <c r="K30" s="3185" t="s">
        <v>3496</v>
      </c>
      <c r="L30" s="3186">
        <v>114.02</v>
      </c>
      <c r="M30" s="3186">
        <v>92.93</v>
      </c>
      <c r="N30" s="3191">
        <v>114.02</v>
      </c>
      <c r="O30" s="3186">
        <v>92.93</v>
      </c>
      <c r="P30" s="3186">
        <v>4350</v>
      </c>
      <c r="Q30" s="3186">
        <v>5337.21</v>
      </c>
      <c r="R30" s="3186">
        <v>495987</v>
      </c>
      <c r="S30" s="3186">
        <v>4350</v>
      </c>
      <c r="T30" s="3186">
        <v>5337.2107999999998</v>
      </c>
      <c r="U30" s="3186">
        <v>495987</v>
      </c>
      <c r="V30" s="3186"/>
      <c r="W30" s="3186"/>
      <c r="X30" s="3186"/>
      <c r="Y30" s="3186"/>
      <c r="Z30" s="3186">
        <v>0</v>
      </c>
      <c r="AA30" s="3186"/>
      <c r="AB30" s="3186">
        <v>0</v>
      </c>
      <c r="AC30" s="3187">
        <v>44028</v>
      </c>
      <c r="AD30" s="3187">
        <v>45264.773614039397</v>
      </c>
      <c r="AE30" s="3187">
        <v>44090.402999074096</v>
      </c>
      <c r="AF30" s="3187"/>
      <c r="AG30" s="3187"/>
      <c r="AH30" s="3187"/>
      <c r="AI30" s="3187"/>
      <c r="AJ30" s="3187"/>
      <c r="AK30" s="3188">
        <v>44834</v>
      </c>
      <c r="AL30" s="3187">
        <v>44028</v>
      </c>
      <c r="AM30" s="3188"/>
      <c r="AN30" s="3188"/>
      <c r="AO30" s="3188"/>
      <c r="AP30" s="3188"/>
      <c r="AQ30" s="3188"/>
      <c r="AR30" s="3188"/>
      <c r="AS30" s="3188"/>
      <c r="AT30" s="3188"/>
    </row>
    <row r="31" spans="1:46" ht="26.1" customHeight="1">
      <c r="A31" s="3185">
        <v>47</v>
      </c>
      <c r="B31" s="3185" t="s">
        <v>3488</v>
      </c>
      <c r="C31" s="3185" t="s">
        <v>3489</v>
      </c>
      <c r="D31" s="3185" t="s">
        <v>3490</v>
      </c>
      <c r="E31" s="3185" t="s">
        <v>3491</v>
      </c>
      <c r="F31" s="3185" t="s">
        <v>3546</v>
      </c>
      <c r="G31" s="3185" t="s">
        <v>3513</v>
      </c>
      <c r="H31" s="3185" t="s">
        <v>3509</v>
      </c>
      <c r="I31" s="3185" t="s">
        <v>3495</v>
      </c>
      <c r="J31" s="3185" t="s">
        <v>3389</v>
      </c>
      <c r="K31" s="3185" t="s">
        <v>3496</v>
      </c>
      <c r="L31" s="3186">
        <v>114.02</v>
      </c>
      <c r="M31" s="3186">
        <v>92.93</v>
      </c>
      <c r="N31" s="3191">
        <v>114.02</v>
      </c>
      <c r="O31" s="3186">
        <v>92.93</v>
      </c>
      <c r="P31" s="3186">
        <v>4400</v>
      </c>
      <c r="Q31" s="3186">
        <v>5398.56</v>
      </c>
      <c r="R31" s="3186">
        <v>501688</v>
      </c>
      <c r="S31" s="3186">
        <v>4400</v>
      </c>
      <c r="T31" s="3186">
        <v>5398.5581000000002</v>
      </c>
      <c r="U31" s="3186">
        <v>501688</v>
      </c>
      <c r="V31" s="3186"/>
      <c r="W31" s="3186"/>
      <c r="X31" s="3186"/>
      <c r="Y31" s="3186"/>
      <c r="Z31" s="3186">
        <v>0</v>
      </c>
      <c r="AA31" s="3186"/>
      <c r="AB31" s="3186">
        <v>0</v>
      </c>
      <c r="AC31" s="3187">
        <v>44028</v>
      </c>
      <c r="AD31" s="3187">
        <v>45264.773614039397</v>
      </c>
      <c r="AE31" s="3187">
        <v>44090.402999074096</v>
      </c>
      <c r="AF31" s="3187"/>
      <c r="AG31" s="3187"/>
      <c r="AH31" s="3187"/>
      <c r="AI31" s="3187"/>
      <c r="AJ31" s="3187"/>
      <c r="AK31" s="3188">
        <v>44834</v>
      </c>
      <c r="AL31" s="3187">
        <v>44028</v>
      </c>
      <c r="AM31" s="3188"/>
      <c r="AN31" s="3188"/>
      <c r="AO31" s="3188"/>
      <c r="AP31" s="3188"/>
      <c r="AQ31" s="3188"/>
      <c r="AR31" s="3188"/>
      <c r="AS31" s="3188"/>
      <c r="AT31" s="3188"/>
    </row>
    <row r="32" spans="1:46" ht="26.1" customHeight="1">
      <c r="A32" s="3185">
        <v>48</v>
      </c>
      <c r="B32" s="3185" t="s">
        <v>3488</v>
      </c>
      <c r="C32" s="3185" t="s">
        <v>3489</v>
      </c>
      <c r="D32" s="3185" t="s">
        <v>3490</v>
      </c>
      <c r="E32" s="3185" t="s">
        <v>3491</v>
      </c>
      <c r="F32" s="3185" t="s">
        <v>3546</v>
      </c>
      <c r="G32" s="3185" t="s">
        <v>3514</v>
      </c>
      <c r="H32" s="3185" t="s">
        <v>3509</v>
      </c>
      <c r="I32" s="3185" t="s">
        <v>3495</v>
      </c>
      <c r="J32" s="3185" t="s">
        <v>3389</v>
      </c>
      <c r="K32" s="3185" t="s">
        <v>3496</v>
      </c>
      <c r="L32" s="3186">
        <v>114.02</v>
      </c>
      <c r="M32" s="3186">
        <v>92.93</v>
      </c>
      <c r="N32" s="3191">
        <v>114.02</v>
      </c>
      <c r="O32" s="3186">
        <v>92.93</v>
      </c>
      <c r="P32" s="3186">
        <v>4400</v>
      </c>
      <c r="Q32" s="3186">
        <v>5398.56</v>
      </c>
      <c r="R32" s="3186">
        <v>501688</v>
      </c>
      <c r="S32" s="3186">
        <v>4400</v>
      </c>
      <c r="T32" s="3186">
        <v>5398.5581000000002</v>
      </c>
      <c r="U32" s="3186">
        <v>501688</v>
      </c>
      <c r="V32" s="3186"/>
      <c r="W32" s="3186"/>
      <c r="X32" s="3186"/>
      <c r="Y32" s="3186"/>
      <c r="Z32" s="3186">
        <v>0</v>
      </c>
      <c r="AA32" s="3186"/>
      <c r="AB32" s="3186">
        <v>0</v>
      </c>
      <c r="AC32" s="3187">
        <v>44028</v>
      </c>
      <c r="AD32" s="3187">
        <v>45264.773614039397</v>
      </c>
      <c r="AE32" s="3187">
        <v>44090.402999074096</v>
      </c>
      <c r="AF32" s="3187"/>
      <c r="AG32" s="3187"/>
      <c r="AH32" s="3187"/>
      <c r="AI32" s="3187"/>
      <c r="AJ32" s="3187"/>
      <c r="AK32" s="3188">
        <v>44834</v>
      </c>
      <c r="AL32" s="3187">
        <v>44028</v>
      </c>
      <c r="AM32" s="3188"/>
      <c r="AN32" s="3188"/>
      <c r="AO32" s="3188"/>
      <c r="AP32" s="3188"/>
      <c r="AQ32" s="3188"/>
      <c r="AR32" s="3188"/>
      <c r="AS32" s="3188"/>
      <c r="AT32" s="3188"/>
    </row>
    <row r="33" spans="1:46" ht="26.1" customHeight="1">
      <c r="A33" s="3185">
        <v>49</v>
      </c>
      <c r="B33" s="3185" t="s">
        <v>3488</v>
      </c>
      <c r="C33" s="3185" t="s">
        <v>3489</v>
      </c>
      <c r="D33" s="3185" t="s">
        <v>3490</v>
      </c>
      <c r="E33" s="3185" t="s">
        <v>3491</v>
      </c>
      <c r="F33" s="3185" t="s">
        <v>3546</v>
      </c>
      <c r="G33" s="3185" t="s">
        <v>3515</v>
      </c>
      <c r="H33" s="3185" t="s">
        <v>3509</v>
      </c>
      <c r="I33" s="3185" t="s">
        <v>3495</v>
      </c>
      <c r="J33" s="3185" t="s">
        <v>3389</v>
      </c>
      <c r="K33" s="3185" t="s">
        <v>3496</v>
      </c>
      <c r="L33" s="3186">
        <v>114.02</v>
      </c>
      <c r="M33" s="3186">
        <v>92.93</v>
      </c>
      <c r="N33" s="3191">
        <v>114.02</v>
      </c>
      <c r="O33" s="3186">
        <v>92.93</v>
      </c>
      <c r="P33" s="3186">
        <v>4600</v>
      </c>
      <c r="Q33" s="3186">
        <v>5643.95</v>
      </c>
      <c r="R33" s="3186">
        <v>524492</v>
      </c>
      <c r="S33" s="3186">
        <v>4600</v>
      </c>
      <c r="T33" s="3186">
        <v>5643.9471000000003</v>
      </c>
      <c r="U33" s="3186">
        <v>524492</v>
      </c>
      <c r="V33" s="3186"/>
      <c r="W33" s="3186"/>
      <c r="X33" s="3186"/>
      <c r="Y33" s="3186"/>
      <c r="Z33" s="3186">
        <v>0</v>
      </c>
      <c r="AA33" s="3186"/>
      <c r="AB33" s="3186">
        <v>0</v>
      </c>
      <c r="AC33" s="3187">
        <v>44028</v>
      </c>
      <c r="AD33" s="3187">
        <v>45264.773614039397</v>
      </c>
      <c r="AE33" s="3187">
        <v>44090.402999074096</v>
      </c>
      <c r="AF33" s="3187"/>
      <c r="AG33" s="3187"/>
      <c r="AH33" s="3187"/>
      <c r="AI33" s="3187"/>
      <c r="AJ33" s="3187"/>
      <c r="AK33" s="3188">
        <v>44834</v>
      </c>
      <c r="AL33" s="3187">
        <v>44028</v>
      </c>
      <c r="AM33" s="3188"/>
      <c r="AN33" s="3188"/>
      <c r="AO33" s="3188"/>
      <c r="AP33" s="3188"/>
      <c r="AQ33" s="3188"/>
      <c r="AR33" s="3188"/>
      <c r="AS33" s="3188"/>
      <c r="AT33" s="3188"/>
    </row>
    <row r="34" spans="1:46" ht="26.1" customHeight="1">
      <c r="A34" s="3185">
        <v>53</v>
      </c>
      <c r="B34" s="3185" t="s">
        <v>3488</v>
      </c>
      <c r="C34" s="3185" t="s">
        <v>3489</v>
      </c>
      <c r="D34" s="3185" t="s">
        <v>3490</v>
      </c>
      <c r="E34" s="3185" t="s">
        <v>3491</v>
      </c>
      <c r="F34" s="3185" t="s">
        <v>3546</v>
      </c>
      <c r="G34" s="3185" t="s">
        <v>3525</v>
      </c>
      <c r="H34" s="3185" t="s">
        <v>3509</v>
      </c>
      <c r="I34" s="3185" t="s">
        <v>3495</v>
      </c>
      <c r="J34" s="3185" t="s">
        <v>3389</v>
      </c>
      <c r="K34" s="3185" t="s">
        <v>3496</v>
      </c>
      <c r="L34" s="3186">
        <v>114.02</v>
      </c>
      <c r="M34" s="3186">
        <v>92.93</v>
      </c>
      <c r="N34" s="3191">
        <v>114.02</v>
      </c>
      <c r="O34" s="3186">
        <v>92.93</v>
      </c>
      <c r="P34" s="3186">
        <v>4800</v>
      </c>
      <c r="Q34" s="3186">
        <v>5889.34</v>
      </c>
      <c r="R34" s="3186">
        <v>547296</v>
      </c>
      <c r="S34" s="3186">
        <v>4800</v>
      </c>
      <c r="T34" s="3186">
        <v>5889.3361000000004</v>
      </c>
      <c r="U34" s="3186">
        <v>547296</v>
      </c>
      <c r="V34" s="3186"/>
      <c r="W34" s="3186"/>
      <c r="X34" s="3186"/>
      <c r="Y34" s="3186"/>
      <c r="Z34" s="3186">
        <v>0</v>
      </c>
      <c r="AA34" s="3186"/>
      <c r="AB34" s="3186">
        <v>0</v>
      </c>
      <c r="AC34" s="3187">
        <v>44028</v>
      </c>
      <c r="AD34" s="3187">
        <v>45264.773614039397</v>
      </c>
      <c r="AE34" s="3187">
        <v>44090.402999074096</v>
      </c>
      <c r="AF34" s="3187"/>
      <c r="AG34" s="3187"/>
      <c r="AH34" s="3187"/>
      <c r="AI34" s="3187"/>
      <c r="AJ34" s="3187"/>
      <c r="AK34" s="3188">
        <v>44834</v>
      </c>
      <c r="AL34" s="3187">
        <v>44028</v>
      </c>
      <c r="AM34" s="3188"/>
      <c r="AN34" s="3188"/>
      <c r="AO34" s="3188"/>
      <c r="AP34" s="3188"/>
      <c r="AQ34" s="3188"/>
      <c r="AR34" s="3188"/>
      <c r="AS34" s="3188"/>
      <c r="AT34" s="3188"/>
    </row>
    <row r="35" spans="1:46" ht="26.1" customHeight="1">
      <c r="A35" s="3185">
        <v>59</v>
      </c>
      <c r="B35" s="3185" t="s">
        <v>3488</v>
      </c>
      <c r="C35" s="3185" t="s">
        <v>3489</v>
      </c>
      <c r="D35" s="3185" t="s">
        <v>3490</v>
      </c>
      <c r="E35" s="3185" t="s">
        <v>3491</v>
      </c>
      <c r="F35" s="3185" t="s">
        <v>3546</v>
      </c>
      <c r="G35" s="3185" t="s">
        <v>3536</v>
      </c>
      <c r="H35" s="3185" t="s">
        <v>3509</v>
      </c>
      <c r="I35" s="3185" t="s">
        <v>3495</v>
      </c>
      <c r="J35" s="3185" t="s">
        <v>3389</v>
      </c>
      <c r="K35" s="3185" t="s">
        <v>3496</v>
      </c>
      <c r="L35" s="3186">
        <v>151.4</v>
      </c>
      <c r="M35" s="3186">
        <v>123.4</v>
      </c>
      <c r="N35" s="3191">
        <v>151.4</v>
      </c>
      <c r="O35" s="3186">
        <v>123.4</v>
      </c>
      <c r="P35" s="3186">
        <v>4400</v>
      </c>
      <c r="Q35" s="3186">
        <v>5398.38</v>
      </c>
      <c r="R35" s="3186">
        <v>666160</v>
      </c>
      <c r="S35" s="3186">
        <v>4400</v>
      </c>
      <c r="T35" s="3186">
        <v>5398.3792999999996</v>
      </c>
      <c r="U35" s="3186">
        <v>666160</v>
      </c>
      <c r="V35" s="3186"/>
      <c r="W35" s="3186"/>
      <c r="X35" s="3186"/>
      <c r="Y35" s="3186"/>
      <c r="Z35" s="3186">
        <v>0</v>
      </c>
      <c r="AA35" s="3186"/>
      <c r="AB35" s="3186">
        <v>0</v>
      </c>
      <c r="AC35" s="3187">
        <v>44028</v>
      </c>
      <c r="AD35" s="3187">
        <v>45264.773614039397</v>
      </c>
      <c r="AE35" s="3187">
        <v>44090.402999074096</v>
      </c>
      <c r="AF35" s="3187"/>
      <c r="AG35" s="3187"/>
      <c r="AH35" s="3187"/>
      <c r="AI35" s="3187"/>
      <c r="AJ35" s="3187"/>
      <c r="AK35" s="3188">
        <v>44834</v>
      </c>
      <c r="AL35" s="3187">
        <v>44028</v>
      </c>
      <c r="AM35" s="3188"/>
      <c r="AN35" s="3188"/>
      <c r="AO35" s="3188"/>
      <c r="AP35" s="3188"/>
      <c r="AQ35" s="3188"/>
      <c r="AR35" s="3188"/>
      <c r="AS35" s="3188"/>
      <c r="AT35" s="3188"/>
    </row>
    <row r="36" spans="1:46" ht="26.1" customHeight="1">
      <c r="A36" s="3185">
        <v>60</v>
      </c>
      <c r="B36" s="3185" t="s">
        <v>3488</v>
      </c>
      <c r="C36" s="3185" t="s">
        <v>3489</v>
      </c>
      <c r="D36" s="3185" t="s">
        <v>3490</v>
      </c>
      <c r="E36" s="3185" t="s">
        <v>3491</v>
      </c>
      <c r="F36" s="3185" t="s">
        <v>3546</v>
      </c>
      <c r="G36" s="3185" t="s">
        <v>3537</v>
      </c>
      <c r="H36" s="3185" t="s">
        <v>3509</v>
      </c>
      <c r="I36" s="3185" t="s">
        <v>3495</v>
      </c>
      <c r="J36" s="3185" t="s">
        <v>3389</v>
      </c>
      <c r="K36" s="3185" t="s">
        <v>3496</v>
      </c>
      <c r="L36" s="3186">
        <v>155.27000000000001</v>
      </c>
      <c r="M36" s="3186">
        <v>126.55</v>
      </c>
      <c r="N36" s="3191">
        <v>155.27000000000001</v>
      </c>
      <c r="O36" s="3186">
        <v>126.55</v>
      </c>
      <c r="P36" s="3186">
        <v>4400</v>
      </c>
      <c r="Q36" s="3186">
        <v>5398.56</v>
      </c>
      <c r="R36" s="3186">
        <v>683188</v>
      </c>
      <c r="S36" s="3186">
        <v>4400</v>
      </c>
      <c r="T36" s="3186">
        <v>5398.5618000000004</v>
      </c>
      <c r="U36" s="3186">
        <v>683188</v>
      </c>
      <c r="V36" s="3186"/>
      <c r="W36" s="3186"/>
      <c r="X36" s="3186"/>
      <c r="Y36" s="3186"/>
      <c r="Z36" s="3186">
        <v>0</v>
      </c>
      <c r="AA36" s="3186"/>
      <c r="AB36" s="3186">
        <v>0</v>
      </c>
      <c r="AC36" s="3187">
        <v>44028</v>
      </c>
      <c r="AD36" s="3187">
        <v>45264.773614039397</v>
      </c>
      <c r="AE36" s="3187">
        <v>44090.402999074096</v>
      </c>
      <c r="AF36" s="3187"/>
      <c r="AG36" s="3187"/>
      <c r="AH36" s="3187"/>
      <c r="AI36" s="3187"/>
      <c r="AJ36" s="3187"/>
      <c r="AK36" s="3188">
        <v>44834</v>
      </c>
      <c r="AL36" s="3187">
        <v>44028</v>
      </c>
      <c r="AM36" s="3188"/>
      <c r="AN36" s="3188"/>
      <c r="AO36" s="3188"/>
      <c r="AP36" s="3188"/>
      <c r="AQ36" s="3188"/>
      <c r="AR36" s="3188"/>
      <c r="AS36" s="3188"/>
      <c r="AT36" s="3188"/>
    </row>
    <row r="37" spans="1:46" ht="26.1" customHeight="1">
      <c r="A37" s="3185">
        <v>62</v>
      </c>
      <c r="B37" s="3185" t="s">
        <v>3488</v>
      </c>
      <c r="C37" s="3185" t="s">
        <v>3489</v>
      </c>
      <c r="D37" s="3185" t="s">
        <v>3490</v>
      </c>
      <c r="E37" s="3185" t="s">
        <v>3557</v>
      </c>
      <c r="F37" s="3185" t="s">
        <v>3492</v>
      </c>
      <c r="G37" s="3185" t="s">
        <v>3502</v>
      </c>
      <c r="H37" s="3185" t="s">
        <v>3509</v>
      </c>
      <c r="I37" s="3185" t="s">
        <v>113</v>
      </c>
      <c r="J37" s="3185" t="s">
        <v>3389</v>
      </c>
      <c r="K37" s="3185" t="s">
        <v>3496</v>
      </c>
      <c r="L37" s="3186">
        <v>113.89</v>
      </c>
      <c r="M37" s="3186">
        <v>92.93</v>
      </c>
      <c r="N37" s="3191">
        <v>113.89</v>
      </c>
      <c r="O37" s="3186">
        <v>92.93</v>
      </c>
      <c r="P37" s="3186">
        <v>5900</v>
      </c>
      <c r="Q37" s="3186">
        <v>7230.72</v>
      </c>
      <c r="R37" s="3186">
        <v>671951</v>
      </c>
      <c r="S37" s="3186">
        <v>5900</v>
      </c>
      <c r="T37" s="3186">
        <v>7230.7219999999998</v>
      </c>
      <c r="U37" s="3186">
        <v>671951</v>
      </c>
      <c r="V37" s="3186"/>
      <c r="W37" s="3186"/>
      <c r="X37" s="3186"/>
      <c r="Y37" s="3186"/>
      <c r="Z37" s="3186">
        <v>0</v>
      </c>
      <c r="AA37" s="3186"/>
      <c r="AB37" s="3186">
        <v>0</v>
      </c>
      <c r="AC37" s="3187">
        <v>43819</v>
      </c>
      <c r="AD37" s="3187">
        <v>45264.773614039397</v>
      </c>
      <c r="AE37" s="3187">
        <v>43847.467454201404</v>
      </c>
      <c r="AF37" s="3187"/>
      <c r="AG37" s="3187"/>
      <c r="AH37" s="3187"/>
      <c r="AI37" s="3187"/>
      <c r="AJ37" s="3187"/>
      <c r="AK37" s="3188"/>
      <c r="AL37" s="3187">
        <v>43814</v>
      </c>
      <c r="AM37" s="3188"/>
      <c r="AN37" s="3188"/>
      <c r="AO37" s="3188"/>
      <c r="AP37" s="3188"/>
      <c r="AQ37" s="3188"/>
      <c r="AR37" s="3188"/>
      <c r="AS37" s="3188"/>
      <c r="AT37" s="3188"/>
    </row>
    <row r="38" spans="1:46" ht="26.1" customHeight="1">
      <c r="A38" s="3185">
        <v>70</v>
      </c>
      <c r="B38" s="3185" t="s">
        <v>3488</v>
      </c>
      <c r="C38" s="3185" t="s">
        <v>3489</v>
      </c>
      <c r="D38" s="3185" t="s">
        <v>3490</v>
      </c>
      <c r="E38" s="3185" t="s">
        <v>3557</v>
      </c>
      <c r="F38" s="3185" t="s">
        <v>3492</v>
      </c>
      <c r="G38" s="3185" t="s">
        <v>3521</v>
      </c>
      <c r="H38" s="3185" t="s">
        <v>3509</v>
      </c>
      <c r="I38" s="3185" t="s">
        <v>113</v>
      </c>
      <c r="J38" s="3185" t="s">
        <v>3389</v>
      </c>
      <c r="K38" s="3185" t="s">
        <v>3496</v>
      </c>
      <c r="L38" s="3186">
        <v>113.89</v>
      </c>
      <c r="M38" s="3186">
        <v>92.93</v>
      </c>
      <c r="N38" s="3191">
        <v>113.89</v>
      </c>
      <c r="O38" s="3186">
        <v>92.93</v>
      </c>
      <c r="P38" s="3186">
        <v>5500</v>
      </c>
      <c r="Q38" s="3186">
        <v>6740.5</v>
      </c>
      <c r="R38" s="3186">
        <v>626395</v>
      </c>
      <c r="S38" s="3186">
        <v>5500</v>
      </c>
      <c r="T38" s="3186">
        <v>6740.5036</v>
      </c>
      <c r="U38" s="3186">
        <v>626395</v>
      </c>
      <c r="V38" s="3186"/>
      <c r="W38" s="3186"/>
      <c r="X38" s="3186"/>
      <c r="Y38" s="3186"/>
      <c r="Z38" s="3186">
        <v>0</v>
      </c>
      <c r="AA38" s="3186"/>
      <c r="AB38" s="3186">
        <v>0</v>
      </c>
      <c r="AC38" s="3187">
        <v>43819</v>
      </c>
      <c r="AD38" s="3187">
        <v>45264.773614039397</v>
      </c>
      <c r="AE38" s="3187">
        <v>43847.467454201404</v>
      </c>
      <c r="AF38" s="3187"/>
      <c r="AG38" s="3187"/>
      <c r="AH38" s="3187"/>
      <c r="AI38" s="3187"/>
      <c r="AJ38" s="3187"/>
      <c r="AK38" s="3188"/>
      <c r="AL38" s="3187">
        <v>43814</v>
      </c>
      <c r="AM38" s="3188"/>
      <c r="AN38" s="3188"/>
      <c r="AO38" s="3188"/>
      <c r="AP38" s="3188"/>
      <c r="AQ38" s="3188"/>
      <c r="AR38" s="3188"/>
      <c r="AS38" s="3188"/>
      <c r="AT38" s="3188"/>
    </row>
    <row r="39" spans="1:46" ht="26.1" customHeight="1">
      <c r="A39" s="3185">
        <v>74</v>
      </c>
      <c r="B39" s="3185" t="s">
        <v>3488</v>
      </c>
      <c r="C39" s="3185" t="s">
        <v>3489</v>
      </c>
      <c r="D39" s="3185" t="s">
        <v>3490</v>
      </c>
      <c r="E39" s="3185" t="s">
        <v>3557</v>
      </c>
      <c r="F39" s="3185" t="s">
        <v>3492</v>
      </c>
      <c r="G39" s="3185" t="s">
        <v>3528</v>
      </c>
      <c r="H39" s="3185" t="s">
        <v>3509</v>
      </c>
      <c r="I39" s="3185" t="s">
        <v>113</v>
      </c>
      <c r="J39" s="3185" t="s">
        <v>3389</v>
      </c>
      <c r="K39" s="3185" t="s">
        <v>3496</v>
      </c>
      <c r="L39" s="3186">
        <v>113.89</v>
      </c>
      <c r="M39" s="3186">
        <v>92.93</v>
      </c>
      <c r="N39" s="3191">
        <v>113.89</v>
      </c>
      <c r="O39" s="3186">
        <v>92.93</v>
      </c>
      <c r="P39" s="3186">
        <v>5550</v>
      </c>
      <c r="Q39" s="3186">
        <v>6801.79</v>
      </c>
      <c r="R39" s="3186">
        <v>632090</v>
      </c>
      <c r="S39" s="3186">
        <v>5550.0043999999998</v>
      </c>
      <c r="T39" s="3186">
        <v>6801.7862999999998</v>
      </c>
      <c r="U39" s="3186">
        <v>632090</v>
      </c>
      <c r="V39" s="3186"/>
      <c r="W39" s="3186"/>
      <c r="X39" s="3186"/>
      <c r="Y39" s="3186"/>
      <c r="Z39" s="3186">
        <v>0</v>
      </c>
      <c r="AA39" s="3186"/>
      <c r="AB39" s="3186">
        <v>0</v>
      </c>
      <c r="AC39" s="3187">
        <v>43819</v>
      </c>
      <c r="AD39" s="3187">
        <v>45264.773614039397</v>
      </c>
      <c r="AE39" s="3187">
        <v>43847.467454201404</v>
      </c>
      <c r="AF39" s="3187"/>
      <c r="AG39" s="3187"/>
      <c r="AH39" s="3187"/>
      <c r="AI39" s="3187"/>
      <c r="AJ39" s="3187"/>
      <c r="AK39" s="3188"/>
      <c r="AL39" s="3187">
        <v>43814</v>
      </c>
      <c r="AM39" s="3188"/>
      <c r="AN39" s="3188"/>
      <c r="AO39" s="3188"/>
      <c r="AP39" s="3188"/>
      <c r="AQ39" s="3188"/>
      <c r="AR39" s="3188"/>
      <c r="AS39" s="3188"/>
      <c r="AT39" s="3188"/>
    </row>
    <row r="40" spans="1:46" ht="26.1" customHeight="1">
      <c r="A40" s="3185">
        <v>77</v>
      </c>
      <c r="B40" s="3185" t="s">
        <v>3488</v>
      </c>
      <c r="C40" s="3185" t="s">
        <v>3489</v>
      </c>
      <c r="D40" s="3185" t="s">
        <v>3490</v>
      </c>
      <c r="E40" s="3185" t="s">
        <v>3557</v>
      </c>
      <c r="F40" s="3185" t="s">
        <v>3492</v>
      </c>
      <c r="G40" s="3185" t="s">
        <v>3532</v>
      </c>
      <c r="H40" s="3185" t="s">
        <v>3509</v>
      </c>
      <c r="I40" s="3185" t="s">
        <v>113</v>
      </c>
      <c r="J40" s="3185" t="s">
        <v>3389</v>
      </c>
      <c r="K40" s="3185" t="s">
        <v>3496</v>
      </c>
      <c r="L40" s="3186">
        <v>113.89</v>
      </c>
      <c r="M40" s="3186">
        <v>92.93</v>
      </c>
      <c r="N40" s="3191">
        <v>113.89</v>
      </c>
      <c r="O40" s="3186">
        <v>92.93</v>
      </c>
      <c r="P40" s="3186">
        <v>5600</v>
      </c>
      <c r="Q40" s="3186">
        <v>6863.06</v>
      </c>
      <c r="R40" s="3186">
        <v>637784</v>
      </c>
      <c r="S40" s="3186">
        <v>5600</v>
      </c>
      <c r="T40" s="3186">
        <v>6863.0582000000004</v>
      </c>
      <c r="U40" s="3186">
        <v>637784</v>
      </c>
      <c r="V40" s="3186"/>
      <c r="W40" s="3186"/>
      <c r="X40" s="3186"/>
      <c r="Y40" s="3186"/>
      <c r="Z40" s="3186">
        <v>0</v>
      </c>
      <c r="AA40" s="3186"/>
      <c r="AB40" s="3186">
        <v>0</v>
      </c>
      <c r="AC40" s="3187">
        <v>43819</v>
      </c>
      <c r="AD40" s="3187">
        <v>45264.773614039397</v>
      </c>
      <c r="AE40" s="3187">
        <v>43847.467454201404</v>
      </c>
      <c r="AF40" s="3187"/>
      <c r="AG40" s="3187"/>
      <c r="AH40" s="3187"/>
      <c r="AI40" s="3187"/>
      <c r="AJ40" s="3187"/>
      <c r="AK40" s="3188"/>
      <c r="AL40" s="3187">
        <v>43814</v>
      </c>
      <c r="AM40" s="3188"/>
      <c r="AN40" s="3188"/>
      <c r="AO40" s="3188"/>
      <c r="AP40" s="3188"/>
      <c r="AQ40" s="3188"/>
      <c r="AR40" s="3188"/>
      <c r="AS40" s="3188"/>
      <c r="AT40" s="3188"/>
    </row>
    <row r="41" spans="1:46" ht="26.1" customHeight="1">
      <c r="A41" s="3185">
        <v>95</v>
      </c>
      <c r="B41" s="3185" t="s">
        <v>3488</v>
      </c>
      <c r="C41" s="3185" t="s">
        <v>3489</v>
      </c>
      <c r="D41" s="3185" t="s">
        <v>3490</v>
      </c>
      <c r="E41" s="3185" t="s">
        <v>3557</v>
      </c>
      <c r="F41" s="3185" t="s">
        <v>3538</v>
      </c>
      <c r="G41" s="3185" t="s">
        <v>3529</v>
      </c>
      <c r="H41" s="3185" t="s">
        <v>3509</v>
      </c>
      <c r="I41" s="3185" t="s">
        <v>113</v>
      </c>
      <c r="J41" s="3185" t="s">
        <v>3389</v>
      </c>
      <c r="K41" s="3185" t="s">
        <v>3496</v>
      </c>
      <c r="L41" s="3186">
        <v>113.89</v>
      </c>
      <c r="M41" s="3186">
        <v>92.93</v>
      </c>
      <c r="N41" s="3191">
        <v>113.89</v>
      </c>
      <c r="O41" s="3186">
        <v>92.93</v>
      </c>
      <c r="P41" s="3186">
        <v>5800</v>
      </c>
      <c r="Q41" s="3186">
        <v>7108.17</v>
      </c>
      <c r="R41" s="3186">
        <v>660562</v>
      </c>
      <c r="S41" s="3186">
        <v>5800</v>
      </c>
      <c r="T41" s="3186">
        <v>7108.1674000000003</v>
      </c>
      <c r="U41" s="3186">
        <v>660562</v>
      </c>
      <c r="V41" s="3186"/>
      <c r="W41" s="3186"/>
      <c r="X41" s="3186"/>
      <c r="Y41" s="3186"/>
      <c r="Z41" s="3186">
        <v>0</v>
      </c>
      <c r="AA41" s="3186"/>
      <c r="AB41" s="3186">
        <v>0</v>
      </c>
      <c r="AC41" s="3187">
        <v>43819</v>
      </c>
      <c r="AD41" s="3187">
        <v>45264.773614039397</v>
      </c>
      <c r="AE41" s="3187">
        <v>43847.467454201404</v>
      </c>
      <c r="AF41" s="3187"/>
      <c r="AG41" s="3187"/>
      <c r="AH41" s="3187"/>
      <c r="AI41" s="3187"/>
      <c r="AJ41" s="3187"/>
      <c r="AK41" s="3188"/>
      <c r="AL41" s="3187">
        <v>43814</v>
      </c>
      <c r="AM41" s="3188"/>
      <c r="AN41" s="3188"/>
      <c r="AO41" s="3188"/>
      <c r="AP41" s="3188"/>
      <c r="AQ41" s="3188"/>
      <c r="AR41" s="3188"/>
      <c r="AS41" s="3188"/>
      <c r="AT41" s="3188"/>
    </row>
    <row r="42" spans="1:46" ht="26.1" customHeight="1">
      <c r="A42" s="3185">
        <v>102</v>
      </c>
      <c r="B42" s="3185" t="s">
        <v>3488</v>
      </c>
      <c r="C42" s="3185" t="s">
        <v>3489</v>
      </c>
      <c r="D42" s="3185" t="s">
        <v>3490</v>
      </c>
      <c r="E42" s="3185" t="s">
        <v>3557</v>
      </c>
      <c r="F42" s="3185" t="s">
        <v>3546</v>
      </c>
      <c r="G42" s="3185" t="s">
        <v>3502</v>
      </c>
      <c r="H42" s="3185" t="s">
        <v>3509</v>
      </c>
      <c r="I42" s="3185" t="s">
        <v>113</v>
      </c>
      <c r="J42" s="3185" t="s">
        <v>3389</v>
      </c>
      <c r="K42" s="3185" t="s">
        <v>3496</v>
      </c>
      <c r="L42" s="3186">
        <v>113.89</v>
      </c>
      <c r="M42" s="3186">
        <v>92.93</v>
      </c>
      <c r="N42" s="3191">
        <v>113.89</v>
      </c>
      <c r="O42" s="3186">
        <v>92.93</v>
      </c>
      <c r="P42" s="3186">
        <v>5900</v>
      </c>
      <c r="Q42" s="3186">
        <v>7230.72</v>
      </c>
      <c r="R42" s="3186">
        <v>671951</v>
      </c>
      <c r="S42" s="3186">
        <v>5900</v>
      </c>
      <c r="T42" s="3186">
        <v>7230.7219999999998</v>
      </c>
      <c r="U42" s="3186">
        <v>671951</v>
      </c>
      <c r="V42" s="3186"/>
      <c r="W42" s="3186"/>
      <c r="X42" s="3186"/>
      <c r="Y42" s="3186"/>
      <c r="Z42" s="3186">
        <v>0</v>
      </c>
      <c r="AA42" s="3186"/>
      <c r="AB42" s="3186">
        <v>0</v>
      </c>
      <c r="AC42" s="3187">
        <v>43819</v>
      </c>
      <c r="AD42" s="3187">
        <v>45264.773614039397</v>
      </c>
      <c r="AE42" s="3187">
        <v>43847.467454201404</v>
      </c>
      <c r="AF42" s="3187"/>
      <c r="AG42" s="3187"/>
      <c r="AH42" s="3188"/>
      <c r="AI42" s="3188"/>
      <c r="AJ42" s="3187"/>
      <c r="AK42" s="3188"/>
      <c r="AL42" s="3187">
        <v>43814</v>
      </c>
      <c r="AM42" s="3188"/>
      <c r="AN42" s="3188"/>
      <c r="AO42" s="3188"/>
      <c r="AP42" s="3188"/>
      <c r="AQ42" s="3188"/>
      <c r="AR42" s="3188"/>
      <c r="AS42" s="3188"/>
      <c r="AT42" s="3188"/>
    </row>
    <row r="43" spans="1:46" ht="26.1" customHeight="1">
      <c r="A43" s="3185">
        <v>110</v>
      </c>
      <c r="B43" s="3185" t="s">
        <v>3488</v>
      </c>
      <c r="C43" s="3185" t="s">
        <v>3489</v>
      </c>
      <c r="D43" s="3185" t="s">
        <v>3490</v>
      </c>
      <c r="E43" s="3185" t="s">
        <v>3557</v>
      </c>
      <c r="F43" s="3185" t="s">
        <v>3546</v>
      </c>
      <c r="G43" s="3185" t="s">
        <v>3521</v>
      </c>
      <c r="H43" s="3185" t="s">
        <v>3509</v>
      </c>
      <c r="I43" s="3185" t="s">
        <v>113</v>
      </c>
      <c r="J43" s="3185" t="s">
        <v>3389</v>
      </c>
      <c r="K43" s="3185" t="s">
        <v>3496</v>
      </c>
      <c r="L43" s="3186">
        <v>113.89</v>
      </c>
      <c r="M43" s="3186">
        <v>92.93</v>
      </c>
      <c r="N43" s="3191">
        <v>113.89</v>
      </c>
      <c r="O43" s="3186">
        <v>92.93</v>
      </c>
      <c r="P43" s="3186">
        <v>5500</v>
      </c>
      <c r="Q43" s="3186">
        <v>6740.5</v>
      </c>
      <c r="R43" s="3186">
        <v>626395</v>
      </c>
      <c r="S43" s="3186">
        <v>5500</v>
      </c>
      <c r="T43" s="3186">
        <v>6740.5036</v>
      </c>
      <c r="U43" s="3186">
        <v>626395</v>
      </c>
      <c r="V43" s="3186"/>
      <c r="W43" s="3186"/>
      <c r="X43" s="3186"/>
      <c r="Y43" s="3186"/>
      <c r="Z43" s="3186">
        <v>0</v>
      </c>
      <c r="AA43" s="3186"/>
      <c r="AB43" s="3186">
        <v>0</v>
      </c>
      <c r="AC43" s="3187">
        <v>43819</v>
      </c>
      <c r="AD43" s="3187">
        <v>45264.773614039397</v>
      </c>
      <c r="AE43" s="3187">
        <v>43847.467454201404</v>
      </c>
      <c r="AF43" s="3187"/>
      <c r="AG43" s="3187"/>
      <c r="AH43" s="3188"/>
      <c r="AI43" s="3188"/>
      <c r="AJ43" s="3187"/>
      <c r="AK43" s="3188"/>
      <c r="AL43" s="3187">
        <v>43814</v>
      </c>
      <c r="AM43" s="3188"/>
      <c r="AN43" s="3188"/>
      <c r="AO43" s="3188"/>
      <c r="AP43" s="3188"/>
      <c r="AQ43" s="3188"/>
      <c r="AR43" s="3188"/>
      <c r="AS43" s="3188"/>
      <c r="AT43" s="3188"/>
    </row>
    <row r="44" spans="1:46" ht="26.1" customHeight="1">
      <c r="A44" s="3185">
        <v>123</v>
      </c>
      <c r="B44" s="3185" t="s">
        <v>3488</v>
      </c>
      <c r="C44" s="3185" t="s">
        <v>3489</v>
      </c>
      <c r="D44" s="3185" t="s">
        <v>3490</v>
      </c>
      <c r="E44" s="3185" t="s">
        <v>3631</v>
      </c>
      <c r="F44" s="3185" t="s">
        <v>3632</v>
      </c>
      <c r="G44" s="3185" t="s">
        <v>3508</v>
      </c>
      <c r="H44" s="3185" t="s">
        <v>3509</v>
      </c>
      <c r="I44" s="3185" t="s">
        <v>3633</v>
      </c>
      <c r="J44" s="3185" t="s">
        <v>3389</v>
      </c>
      <c r="K44" s="3185" t="s">
        <v>3496</v>
      </c>
      <c r="L44" s="3186">
        <v>97.84</v>
      </c>
      <c r="M44" s="3186">
        <v>77.13</v>
      </c>
      <c r="N44" s="3191">
        <v>97.84</v>
      </c>
      <c r="O44" s="3186">
        <v>77.13</v>
      </c>
      <c r="P44" s="3186">
        <v>5300</v>
      </c>
      <c r="Q44" s="3186">
        <v>6723.09</v>
      </c>
      <c r="R44" s="3186">
        <v>518552</v>
      </c>
      <c r="S44" s="3186">
        <v>5300</v>
      </c>
      <c r="T44" s="3186">
        <v>6723.0909000000001</v>
      </c>
      <c r="U44" s="3186">
        <v>518552</v>
      </c>
      <c r="V44" s="3186"/>
      <c r="W44" s="3186"/>
      <c r="X44" s="3186"/>
      <c r="Y44" s="3186"/>
      <c r="Z44" s="3186">
        <v>0</v>
      </c>
      <c r="AA44" s="3186"/>
      <c r="AB44" s="3186">
        <v>0</v>
      </c>
      <c r="AC44" s="3187">
        <v>43819</v>
      </c>
      <c r="AD44" s="3187">
        <v>45264.773614039397</v>
      </c>
      <c r="AE44" s="3187">
        <v>43847.564216666702</v>
      </c>
      <c r="AF44" s="3187"/>
      <c r="AG44" s="3187"/>
      <c r="AH44" s="3188"/>
      <c r="AI44" s="3188"/>
      <c r="AJ44" s="3187"/>
      <c r="AK44" s="3188"/>
      <c r="AL44" s="3187">
        <v>43814</v>
      </c>
      <c r="AM44" s="3188"/>
      <c r="AN44" s="3188"/>
      <c r="AO44" s="3188"/>
      <c r="AP44" s="3188"/>
      <c r="AQ44" s="3188"/>
      <c r="AR44" s="3188"/>
      <c r="AS44" s="3188"/>
      <c r="AT44" s="3188"/>
    </row>
    <row r="45" spans="1:46" ht="26.1" customHeight="1">
      <c r="A45" s="3185">
        <v>142</v>
      </c>
      <c r="B45" s="3185" t="s">
        <v>3488</v>
      </c>
      <c r="C45" s="3185" t="s">
        <v>3489</v>
      </c>
      <c r="D45" s="3185" t="s">
        <v>3490</v>
      </c>
      <c r="E45" s="3185" t="s">
        <v>3631</v>
      </c>
      <c r="F45" s="3185" t="s">
        <v>3492</v>
      </c>
      <c r="G45" s="3185" t="s">
        <v>3502</v>
      </c>
      <c r="H45" s="3185" t="s">
        <v>3509</v>
      </c>
      <c r="I45" s="3185" t="s">
        <v>3633</v>
      </c>
      <c r="J45" s="3185" t="s">
        <v>3389</v>
      </c>
      <c r="K45" s="3185" t="s">
        <v>3496</v>
      </c>
      <c r="L45" s="3186">
        <v>97.84</v>
      </c>
      <c r="M45" s="3186">
        <v>77.13</v>
      </c>
      <c r="N45" s="3191">
        <v>97.84</v>
      </c>
      <c r="O45" s="3186">
        <v>77.13</v>
      </c>
      <c r="P45" s="3186">
        <v>5900</v>
      </c>
      <c r="Q45" s="3186">
        <v>7484.2</v>
      </c>
      <c r="R45" s="3186">
        <v>577256</v>
      </c>
      <c r="S45" s="3186">
        <v>5900</v>
      </c>
      <c r="T45" s="3186">
        <v>7484.1954999999998</v>
      </c>
      <c r="U45" s="3186">
        <v>577256</v>
      </c>
      <c r="V45" s="3186"/>
      <c r="W45" s="3186"/>
      <c r="X45" s="3186"/>
      <c r="Y45" s="3186"/>
      <c r="Z45" s="3186">
        <v>0</v>
      </c>
      <c r="AA45" s="3186"/>
      <c r="AB45" s="3186">
        <v>0</v>
      </c>
      <c r="AC45" s="3187">
        <v>43819</v>
      </c>
      <c r="AD45" s="3187">
        <v>45264.773614039397</v>
      </c>
      <c r="AE45" s="3187">
        <v>43847.564216666702</v>
      </c>
      <c r="AF45" s="3187"/>
      <c r="AG45" s="3187"/>
      <c r="AH45" s="3187"/>
      <c r="AI45" s="3187"/>
      <c r="AJ45" s="3187"/>
      <c r="AK45" s="3188"/>
      <c r="AL45" s="3187">
        <v>43814</v>
      </c>
      <c r="AM45" s="3188"/>
      <c r="AN45" s="3188"/>
      <c r="AO45" s="3188"/>
      <c r="AP45" s="3188"/>
      <c r="AQ45" s="3188"/>
      <c r="AR45" s="3188"/>
      <c r="AS45" s="3188"/>
      <c r="AT45" s="3188"/>
    </row>
    <row r="46" spans="1:46" ht="26.1" customHeight="1">
      <c r="A46" s="3185">
        <v>161</v>
      </c>
      <c r="B46" s="3185" t="s">
        <v>3488</v>
      </c>
      <c r="C46" s="3185" t="s">
        <v>3489</v>
      </c>
      <c r="D46" s="3185" t="s">
        <v>3490</v>
      </c>
      <c r="E46" s="3185" t="s">
        <v>3631</v>
      </c>
      <c r="F46" s="3185" t="s">
        <v>3538</v>
      </c>
      <c r="G46" s="3185" t="s">
        <v>3493</v>
      </c>
      <c r="H46" s="3185" t="s">
        <v>3509</v>
      </c>
      <c r="I46" s="3185" t="s">
        <v>3633</v>
      </c>
      <c r="J46" s="3185" t="s">
        <v>3389</v>
      </c>
      <c r="K46" s="3185" t="s">
        <v>3496</v>
      </c>
      <c r="L46" s="3186">
        <v>97.84</v>
      </c>
      <c r="M46" s="3186">
        <v>77.13</v>
      </c>
      <c r="N46" s="3191">
        <v>97.84</v>
      </c>
      <c r="O46" s="3186">
        <v>77.13</v>
      </c>
      <c r="P46" s="3186">
        <v>5900</v>
      </c>
      <c r="Q46" s="3186">
        <v>7484.2</v>
      </c>
      <c r="R46" s="3186">
        <v>577256</v>
      </c>
      <c r="S46" s="3186">
        <v>5900</v>
      </c>
      <c r="T46" s="3186">
        <v>7484.1954999999998</v>
      </c>
      <c r="U46" s="3186">
        <v>577256</v>
      </c>
      <c r="V46" s="3186"/>
      <c r="W46" s="3186"/>
      <c r="X46" s="3186"/>
      <c r="Y46" s="3186"/>
      <c r="Z46" s="3186">
        <v>0</v>
      </c>
      <c r="AA46" s="3186"/>
      <c r="AB46" s="3186">
        <v>0</v>
      </c>
      <c r="AC46" s="3187">
        <v>43819</v>
      </c>
      <c r="AD46" s="3187">
        <v>45264.773614039397</v>
      </c>
      <c r="AE46" s="3187">
        <v>43847.564216666702</v>
      </c>
      <c r="AF46" s="3187"/>
      <c r="AG46" s="3187"/>
      <c r="AH46" s="3187"/>
      <c r="AI46" s="3187"/>
      <c r="AJ46" s="3187"/>
      <c r="AK46" s="3188"/>
      <c r="AL46" s="3187">
        <v>43814</v>
      </c>
      <c r="AM46" s="3188"/>
      <c r="AN46" s="3188"/>
      <c r="AO46" s="3188"/>
      <c r="AP46" s="3188"/>
      <c r="AQ46" s="3188"/>
      <c r="AR46" s="3188"/>
      <c r="AS46" s="3188"/>
      <c r="AT46" s="3188"/>
    </row>
    <row r="47" spans="1:46" ht="26.1" customHeight="1">
      <c r="A47" s="3185">
        <v>162</v>
      </c>
      <c r="B47" s="3185" t="s">
        <v>3488</v>
      </c>
      <c r="C47" s="3185" t="s">
        <v>3489</v>
      </c>
      <c r="D47" s="3185" t="s">
        <v>3490</v>
      </c>
      <c r="E47" s="3185" t="s">
        <v>3631</v>
      </c>
      <c r="F47" s="3185" t="s">
        <v>3538</v>
      </c>
      <c r="G47" s="3185" t="s">
        <v>3502</v>
      </c>
      <c r="H47" s="3185" t="s">
        <v>3509</v>
      </c>
      <c r="I47" s="3185" t="s">
        <v>3633</v>
      </c>
      <c r="J47" s="3185" t="s">
        <v>3389</v>
      </c>
      <c r="K47" s="3185" t="s">
        <v>3496</v>
      </c>
      <c r="L47" s="3186">
        <v>97.84</v>
      </c>
      <c r="M47" s="3186">
        <v>77.13</v>
      </c>
      <c r="N47" s="3191">
        <v>97.84</v>
      </c>
      <c r="O47" s="3186">
        <v>77.13</v>
      </c>
      <c r="P47" s="3186">
        <v>5900</v>
      </c>
      <c r="Q47" s="3186">
        <v>7484.2</v>
      </c>
      <c r="R47" s="3186">
        <v>577256</v>
      </c>
      <c r="S47" s="3186">
        <v>5900</v>
      </c>
      <c r="T47" s="3186">
        <v>7484.1954999999998</v>
      </c>
      <c r="U47" s="3186">
        <v>577256</v>
      </c>
      <c r="V47" s="3186"/>
      <c r="W47" s="3186"/>
      <c r="X47" s="3186"/>
      <c r="Y47" s="3186"/>
      <c r="Z47" s="3186">
        <v>0</v>
      </c>
      <c r="AA47" s="3186"/>
      <c r="AB47" s="3186">
        <v>0</v>
      </c>
      <c r="AC47" s="3187">
        <v>43819</v>
      </c>
      <c r="AD47" s="3187">
        <v>45264.773614039397</v>
      </c>
      <c r="AE47" s="3187">
        <v>43847.564216666702</v>
      </c>
      <c r="AF47" s="3187"/>
      <c r="AG47" s="3187"/>
      <c r="AH47" s="3188"/>
      <c r="AI47" s="3188"/>
      <c r="AJ47" s="3187"/>
      <c r="AK47" s="3188"/>
      <c r="AL47" s="3187">
        <v>43814</v>
      </c>
      <c r="AM47" s="3188"/>
      <c r="AN47" s="3188"/>
      <c r="AO47" s="3188"/>
      <c r="AP47" s="3188"/>
      <c r="AQ47" s="3188"/>
      <c r="AR47" s="3188"/>
      <c r="AS47" s="3188"/>
      <c r="AT47" s="3188"/>
    </row>
    <row r="48" spans="1:46" ht="26.1" customHeight="1">
      <c r="A48" s="3185">
        <v>163</v>
      </c>
      <c r="B48" s="3185" t="s">
        <v>3488</v>
      </c>
      <c r="C48" s="3185" t="s">
        <v>3489</v>
      </c>
      <c r="D48" s="3185" t="s">
        <v>3490</v>
      </c>
      <c r="E48" s="3185" t="s">
        <v>3631</v>
      </c>
      <c r="F48" s="3185" t="s">
        <v>3538</v>
      </c>
      <c r="G48" s="3185" t="s">
        <v>3508</v>
      </c>
      <c r="H48" s="3185" t="s">
        <v>3509</v>
      </c>
      <c r="I48" s="3185" t="s">
        <v>3633</v>
      </c>
      <c r="J48" s="3185" t="s">
        <v>3389</v>
      </c>
      <c r="K48" s="3185" t="s">
        <v>3496</v>
      </c>
      <c r="L48" s="3186">
        <v>97.84</v>
      </c>
      <c r="M48" s="3186">
        <v>77.13</v>
      </c>
      <c r="N48" s="3191">
        <v>97.84</v>
      </c>
      <c r="O48" s="3186">
        <v>77.13</v>
      </c>
      <c r="P48" s="3186">
        <v>10220.77</v>
      </c>
      <c r="Q48" s="3186">
        <v>12965.12</v>
      </c>
      <c r="R48" s="3186">
        <v>1000000</v>
      </c>
      <c r="S48" s="3186">
        <v>10754.190500000001</v>
      </c>
      <c r="T48" s="3186">
        <v>13641.7736</v>
      </c>
      <c r="U48" s="3186">
        <v>1052190</v>
      </c>
      <c r="V48" s="3186"/>
      <c r="W48" s="3186"/>
      <c r="X48" s="3186"/>
      <c r="Y48" s="3186"/>
      <c r="Z48" s="3186">
        <v>0</v>
      </c>
      <c r="AA48" s="3186"/>
      <c r="AB48" s="3186">
        <v>0</v>
      </c>
      <c r="AC48" s="3187">
        <v>43819</v>
      </c>
      <c r="AD48" s="3187">
        <v>43847.465749155097</v>
      </c>
      <c r="AE48" s="3187">
        <v>43847.564216666702</v>
      </c>
      <c r="AF48" s="3187"/>
      <c r="AG48" s="3187"/>
      <c r="AH48" s="3187"/>
      <c r="AI48" s="3187"/>
      <c r="AJ48" s="3187"/>
      <c r="AK48" s="3188"/>
      <c r="AL48" s="3187">
        <v>43814</v>
      </c>
      <c r="AM48" s="3188"/>
      <c r="AN48" s="3188"/>
      <c r="AO48" s="3188"/>
      <c r="AP48" s="3188"/>
      <c r="AQ48" s="3188"/>
      <c r="AR48" s="3188"/>
      <c r="AS48" s="3188"/>
      <c r="AT48" s="3188"/>
    </row>
    <row r="49" spans="1:46" ht="26.25" customHeight="1">
      <c r="A49" s="3185">
        <v>172</v>
      </c>
      <c r="B49" s="3185" t="s">
        <v>3488</v>
      </c>
      <c r="C49" s="3185" t="s">
        <v>3489</v>
      </c>
      <c r="D49" s="3185" t="s">
        <v>3490</v>
      </c>
      <c r="E49" s="3185" t="s">
        <v>3631</v>
      </c>
      <c r="F49" s="3185" t="s">
        <v>3538</v>
      </c>
      <c r="G49" s="3185" t="s">
        <v>3523</v>
      </c>
      <c r="H49" s="3185" t="s">
        <v>3509</v>
      </c>
      <c r="I49" s="3185" t="s">
        <v>3633</v>
      </c>
      <c r="J49" s="3185" t="s">
        <v>3389</v>
      </c>
      <c r="K49" s="3185" t="s">
        <v>3496</v>
      </c>
      <c r="L49" s="3186">
        <v>97.84</v>
      </c>
      <c r="M49" s="3186">
        <v>77.13</v>
      </c>
      <c r="N49" s="3191">
        <v>97.84</v>
      </c>
      <c r="O49" s="3186">
        <v>77.13</v>
      </c>
      <c r="P49" s="3186">
        <v>5500</v>
      </c>
      <c r="Q49" s="3186">
        <v>6976.79</v>
      </c>
      <c r="R49" s="3186">
        <v>538120</v>
      </c>
      <c r="S49" s="3186">
        <v>5500</v>
      </c>
      <c r="T49" s="3186">
        <v>6976.7924000000003</v>
      </c>
      <c r="U49" s="3186">
        <v>538120</v>
      </c>
      <c r="V49" s="3186"/>
      <c r="W49" s="3186"/>
      <c r="X49" s="3186"/>
      <c r="Y49" s="3186"/>
      <c r="Z49" s="3186">
        <v>0</v>
      </c>
      <c r="AA49" s="3186"/>
      <c r="AB49" s="3186">
        <v>0</v>
      </c>
      <c r="AC49" s="3187">
        <v>43819</v>
      </c>
      <c r="AD49" s="3187">
        <v>45264.773614039397</v>
      </c>
      <c r="AE49" s="3187">
        <v>43847.564216666702</v>
      </c>
      <c r="AF49" s="3187"/>
      <c r="AG49" s="3187"/>
      <c r="AH49" s="3187"/>
      <c r="AI49" s="3187"/>
      <c r="AJ49" s="3187"/>
      <c r="AK49" s="3188"/>
      <c r="AL49" s="3187">
        <v>43814</v>
      </c>
      <c r="AM49" s="3188"/>
      <c r="AN49" s="3188"/>
      <c r="AO49" s="3188"/>
      <c r="AP49" s="3188"/>
      <c r="AQ49" s="3188"/>
      <c r="AR49" s="3188"/>
      <c r="AS49" s="3188"/>
      <c r="AT49" s="3188"/>
    </row>
    <row r="50" spans="1:46" ht="26.1" customHeight="1">
      <c r="A50" s="3185">
        <v>182</v>
      </c>
      <c r="B50" s="3185" t="s">
        <v>3488</v>
      </c>
      <c r="C50" s="3185" t="s">
        <v>3489</v>
      </c>
      <c r="D50" s="3185" t="s">
        <v>3490</v>
      </c>
      <c r="E50" s="3185" t="s">
        <v>3631</v>
      </c>
      <c r="F50" s="3185" t="s">
        <v>3546</v>
      </c>
      <c r="G50" s="3185" t="s">
        <v>3502</v>
      </c>
      <c r="H50" s="3185" t="s">
        <v>3509</v>
      </c>
      <c r="I50" s="3185" t="s">
        <v>3633</v>
      </c>
      <c r="J50" s="3185" t="s">
        <v>3389</v>
      </c>
      <c r="K50" s="3185" t="s">
        <v>3496</v>
      </c>
      <c r="L50" s="3186">
        <v>97.84</v>
      </c>
      <c r="M50" s="3186">
        <v>77.13</v>
      </c>
      <c r="N50" s="3191">
        <v>97.84</v>
      </c>
      <c r="O50" s="3186">
        <v>77.13</v>
      </c>
      <c r="P50" s="3186">
        <v>5900</v>
      </c>
      <c r="Q50" s="3186">
        <v>7484.2</v>
      </c>
      <c r="R50" s="3186">
        <v>577256</v>
      </c>
      <c r="S50" s="3186">
        <v>5900</v>
      </c>
      <c r="T50" s="3186">
        <v>7484.1954999999998</v>
      </c>
      <c r="U50" s="3186">
        <v>577256</v>
      </c>
      <c r="V50" s="3186"/>
      <c r="W50" s="3186"/>
      <c r="X50" s="3186"/>
      <c r="Y50" s="3186"/>
      <c r="Z50" s="3186">
        <v>0</v>
      </c>
      <c r="AA50" s="3186"/>
      <c r="AB50" s="3186">
        <v>0</v>
      </c>
      <c r="AC50" s="3187">
        <v>43819</v>
      </c>
      <c r="AD50" s="3187">
        <v>45264.773614039397</v>
      </c>
      <c r="AE50" s="3187">
        <v>43847.564216666702</v>
      </c>
      <c r="AF50" s="3187"/>
      <c r="AG50" s="3187"/>
      <c r="AH50" s="3187"/>
      <c r="AI50" s="3187"/>
      <c r="AJ50" s="3187"/>
      <c r="AK50" s="3188"/>
      <c r="AL50" s="3187">
        <v>43814</v>
      </c>
      <c r="AM50" s="3188"/>
      <c r="AN50" s="3188"/>
      <c r="AO50" s="3188"/>
      <c r="AP50" s="3188"/>
      <c r="AQ50" s="3188"/>
      <c r="AR50" s="3188"/>
      <c r="AS50" s="3188"/>
      <c r="AT50" s="3188"/>
    </row>
    <row r="51" spans="1:46" ht="26.1" customHeight="1">
      <c r="A51" s="3185">
        <v>199</v>
      </c>
      <c r="B51" s="3185" t="s">
        <v>3488</v>
      </c>
      <c r="C51" s="3185" t="s">
        <v>3489</v>
      </c>
      <c r="D51" s="3185" t="s">
        <v>3490</v>
      </c>
      <c r="E51" s="3185" t="s">
        <v>3631</v>
      </c>
      <c r="F51" s="3185" t="s">
        <v>3546</v>
      </c>
      <c r="G51" s="3185" t="s">
        <v>3536</v>
      </c>
      <c r="H51" s="3185" t="s">
        <v>3509</v>
      </c>
      <c r="I51" s="3185" t="s">
        <v>3633</v>
      </c>
      <c r="J51" s="3185" t="s">
        <v>3389</v>
      </c>
      <c r="K51" s="3185" t="s">
        <v>3496</v>
      </c>
      <c r="L51" s="3186">
        <v>134.38999999999999</v>
      </c>
      <c r="M51" s="3186">
        <v>105.94</v>
      </c>
      <c r="N51" s="3191">
        <v>134.38999999999999</v>
      </c>
      <c r="O51" s="3186">
        <v>105.94</v>
      </c>
      <c r="P51" s="3186">
        <v>5350</v>
      </c>
      <c r="Q51" s="3186">
        <v>6786.74</v>
      </c>
      <c r="R51" s="3186">
        <v>718987</v>
      </c>
      <c r="S51" s="3186">
        <v>5350.0037000000002</v>
      </c>
      <c r="T51" s="3186">
        <v>6786.7377999999999</v>
      </c>
      <c r="U51" s="3186">
        <v>718987</v>
      </c>
      <c r="V51" s="3186"/>
      <c r="W51" s="3186"/>
      <c r="X51" s="3186"/>
      <c r="Y51" s="3186"/>
      <c r="Z51" s="3186">
        <v>0</v>
      </c>
      <c r="AA51" s="3186"/>
      <c r="AB51" s="3186">
        <v>0</v>
      </c>
      <c r="AC51" s="3187">
        <v>43819</v>
      </c>
      <c r="AD51" s="3187">
        <v>45264.773614039397</v>
      </c>
      <c r="AE51" s="3187">
        <v>43847.564216666702</v>
      </c>
      <c r="AF51" s="3187"/>
      <c r="AG51" s="3187"/>
      <c r="AH51" s="3187"/>
      <c r="AI51" s="3187"/>
      <c r="AJ51" s="3187"/>
      <c r="AK51" s="3188"/>
      <c r="AL51" s="3187">
        <v>43814</v>
      </c>
      <c r="AM51" s="3188"/>
      <c r="AN51" s="3188"/>
      <c r="AO51" s="3188"/>
      <c r="AP51" s="3188"/>
      <c r="AQ51" s="3188"/>
      <c r="AR51" s="3188"/>
      <c r="AS51" s="3188"/>
      <c r="AT51" s="3188"/>
    </row>
    <row r="52" spans="1:46" ht="26.1" customHeight="1">
      <c r="A52" s="3185">
        <v>200</v>
      </c>
      <c r="B52" s="3185" t="s">
        <v>3488</v>
      </c>
      <c r="C52" s="3185" t="s">
        <v>3489</v>
      </c>
      <c r="D52" s="3185" t="s">
        <v>3490</v>
      </c>
      <c r="E52" s="3185" t="s">
        <v>3631</v>
      </c>
      <c r="F52" s="3185" t="s">
        <v>3546</v>
      </c>
      <c r="G52" s="3185" t="s">
        <v>3537</v>
      </c>
      <c r="H52" s="3185" t="s">
        <v>3509</v>
      </c>
      <c r="I52" s="3185" t="s">
        <v>3633</v>
      </c>
      <c r="J52" s="3185" t="s">
        <v>3389</v>
      </c>
      <c r="K52" s="3185" t="s">
        <v>3496</v>
      </c>
      <c r="L52" s="3186">
        <v>134.38999999999999</v>
      </c>
      <c r="M52" s="3186">
        <v>105.94</v>
      </c>
      <c r="N52" s="3191">
        <v>134.38999999999999</v>
      </c>
      <c r="O52" s="3186">
        <v>105.94</v>
      </c>
      <c r="P52" s="3186">
        <v>5400</v>
      </c>
      <c r="Q52" s="3186">
        <v>6850.16</v>
      </c>
      <c r="R52" s="3186">
        <v>725706</v>
      </c>
      <c r="S52" s="3186">
        <v>5400</v>
      </c>
      <c r="T52" s="3186">
        <v>6850.1605</v>
      </c>
      <c r="U52" s="3186">
        <v>725706</v>
      </c>
      <c r="V52" s="3186"/>
      <c r="W52" s="3186"/>
      <c r="X52" s="3186"/>
      <c r="Y52" s="3186"/>
      <c r="Z52" s="3186">
        <v>0</v>
      </c>
      <c r="AA52" s="3186"/>
      <c r="AB52" s="3186">
        <v>0</v>
      </c>
      <c r="AC52" s="3187">
        <v>43819</v>
      </c>
      <c r="AD52" s="3187">
        <v>45264.773614039397</v>
      </c>
      <c r="AE52" s="3187">
        <v>43847.564216666702</v>
      </c>
      <c r="AF52" s="3187"/>
      <c r="AG52" s="3187"/>
      <c r="AH52" s="3187"/>
      <c r="AI52" s="3187"/>
      <c r="AJ52" s="3187"/>
      <c r="AK52" s="3188"/>
      <c r="AL52" s="3187">
        <v>43814</v>
      </c>
      <c r="AM52" s="3188"/>
      <c r="AN52" s="3188"/>
      <c r="AO52" s="3188"/>
      <c r="AP52" s="3188"/>
      <c r="AQ52" s="3188"/>
      <c r="AR52" s="3188"/>
      <c r="AS52" s="3188"/>
      <c r="AT52" s="3188"/>
    </row>
    <row r="53" spans="1:46" ht="26.1" customHeight="1">
      <c r="A53" s="3185">
        <v>221</v>
      </c>
      <c r="B53" s="3185" t="s">
        <v>3488</v>
      </c>
      <c r="C53" s="3185" t="s">
        <v>3489</v>
      </c>
      <c r="D53" s="3185" t="s">
        <v>3490</v>
      </c>
      <c r="E53" s="3185" t="s">
        <v>3699</v>
      </c>
      <c r="F53" s="3185" t="s">
        <v>3492</v>
      </c>
      <c r="G53" s="3185" t="s">
        <v>3513</v>
      </c>
      <c r="H53" s="3185" t="s">
        <v>3509</v>
      </c>
      <c r="I53" s="3185" t="s">
        <v>114</v>
      </c>
      <c r="J53" s="3185" t="s">
        <v>3389</v>
      </c>
      <c r="K53" s="3185" t="s">
        <v>3496</v>
      </c>
      <c r="L53" s="3186">
        <v>96.65</v>
      </c>
      <c r="M53" s="3186">
        <v>77.19</v>
      </c>
      <c r="N53" s="3191">
        <v>96.65</v>
      </c>
      <c r="O53" s="3186">
        <v>77.19</v>
      </c>
      <c r="P53" s="3186">
        <v>5400</v>
      </c>
      <c r="Q53" s="3186">
        <v>6761.37</v>
      </c>
      <c r="R53" s="3186">
        <v>521910</v>
      </c>
      <c r="S53" s="3186">
        <v>5400</v>
      </c>
      <c r="T53" s="3186">
        <v>6761.3680999999997</v>
      </c>
      <c r="U53" s="3186">
        <v>521910</v>
      </c>
      <c r="V53" s="3186"/>
      <c r="W53" s="3186"/>
      <c r="X53" s="3186"/>
      <c r="Y53" s="3186"/>
      <c r="Z53" s="3186">
        <v>0</v>
      </c>
      <c r="AA53" s="3186"/>
      <c r="AB53" s="3186">
        <v>0</v>
      </c>
      <c r="AC53" s="3187">
        <v>43819</v>
      </c>
      <c r="AD53" s="3187">
        <v>45264.773614039397</v>
      </c>
      <c r="AE53" s="3187">
        <v>43847.563430902803</v>
      </c>
      <c r="AF53" s="3187"/>
      <c r="AG53" s="3187"/>
      <c r="AH53" s="3187"/>
      <c r="AI53" s="3188"/>
      <c r="AJ53" s="3187"/>
      <c r="AK53" s="3188"/>
      <c r="AL53" s="3187">
        <v>43814</v>
      </c>
      <c r="AM53" s="3188"/>
      <c r="AN53" s="3188"/>
      <c r="AO53" s="3188"/>
      <c r="AP53" s="3188"/>
      <c r="AQ53" s="3188"/>
      <c r="AR53" s="3188"/>
      <c r="AS53" s="3188"/>
      <c r="AT53" s="3188"/>
    </row>
    <row r="54" spans="1:46" ht="26.1" customHeight="1">
      <c r="A54" s="3185">
        <v>223</v>
      </c>
      <c r="B54" s="3185" t="s">
        <v>3488</v>
      </c>
      <c r="C54" s="3185" t="s">
        <v>3489</v>
      </c>
      <c r="D54" s="3185" t="s">
        <v>3490</v>
      </c>
      <c r="E54" s="3185" t="s">
        <v>3699</v>
      </c>
      <c r="F54" s="3185" t="s">
        <v>3492</v>
      </c>
      <c r="G54" s="3185" t="s">
        <v>3515</v>
      </c>
      <c r="H54" s="3185" t="s">
        <v>3509</v>
      </c>
      <c r="I54" s="3185" t="s">
        <v>114</v>
      </c>
      <c r="J54" s="3185" t="s">
        <v>3389</v>
      </c>
      <c r="K54" s="3185" t="s">
        <v>3496</v>
      </c>
      <c r="L54" s="3186">
        <v>96.65</v>
      </c>
      <c r="M54" s="3186">
        <v>77.19</v>
      </c>
      <c r="N54" s="3191">
        <v>96.65</v>
      </c>
      <c r="O54" s="3186">
        <v>77.19</v>
      </c>
      <c r="P54" s="3186">
        <v>5500</v>
      </c>
      <c r="Q54" s="3186">
        <v>6886.58</v>
      </c>
      <c r="R54" s="3186">
        <v>531575</v>
      </c>
      <c r="S54" s="3186">
        <v>5500</v>
      </c>
      <c r="T54" s="3186">
        <v>6886.5785999999998</v>
      </c>
      <c r="U54" s="3186">
        <v>531575</v>
      </c>
      <c r="V54" s="3186"/>
      <c r="W54" s="3186"/>
      <c r="X54" s="3186"/>
      <c r="Y54" s="3186"/>
      <c r="Z54" s="3186">
        <v>0</v>
      </c>
      <c r="AA54" s="3186"/>
      <c r="AB54" s="3186">
        <v>0</v>
      </c>
      <c r="AC54" s="3187">
        <v>43819</v>
      </c>
      <c r="AD54" s="3187">
        <v>45264.773614039397</v>
      </c>
      <c r="AE54" s="3187">
        <v>43847.563430902803</v>
      </c>
      <c r="AF54" s="3187"/>
      <c r="AG54" s="3187"/>
      <c r="AH54" s="3187"/>
      <c r="AI54" s="3188"/>
      <c r="AJ54" s="3187"/>
      <c r="AK54" s="3188"/>
      <c r="AL54" s="3187">
        <v>43814</v>
      </c>
      <c r="AM54" s="3188"/>
      <c r="AN54" s="3188"/>
      <c r="AO54" s="3188"/>
      <c r="AP54" s="3188"/>
      <c r="AQ54" s="3188"/>
      <c r="AR54" s="3188"/>
      <c r="AS54" s="3188"/>
      <c r="AT54" s="3188"/>
    </row>
    <row r="55" spans="1:46" ht="26.1" customHeight="1">
      <c r="A55" s="3185">
        <v>235</v>
      </c>
      <c r="B55" s="3185" t="s">
        <v>3488</v>
      </c>
      <c r="C55" s="3185" t="s">
        <v>3489</v>
      </c>
      <c r="D55" s="3185" t="s">
        <v>3490</v>
      </c>
      <c r="E55" s="3185" t="s">
        <v>3699</v>
      </c>
      <c r="F55" s="3185" t="s">
        <v>3538</v>
      </c>
      <c r="G55" s="3185" t="s">
        <v>3513</v>
      </c>
      <c r="H55" s="3185" t="s">
        <v>3509</v>
      </c>
      <c r="I55" s="3185" t="s">
        <v>114</v>
      </c>
      <c r="J55" s="3185" t="s">
        <v>3389</v>
      </c>
      <c r="K55" s="3185" t="s">
        <v>3496</v>
      </c>
      <c r="L55" s="3186">
        <v>96.65</v>
      </c>
      <c r="M55" s="3186">
        <v>77.19</v>
      </c>
      <c r="N55" s="3191">
        <v>96.65</v>
      </c>
      <c r="O55" s="3186">
        <v>77.19</v>
      </c>
      <c r="P55" s="3186">
        <v>5400</v>
      </c>
      <c r="Q55" s="3186">
        <v>6761.37</v>
      </c>
      <c r="R55" s="3186">
        <v>521910</v>
      </c>
      <c r="S55" s="3186">
        <v>5400</v>
      </c>
      <c r="T55" s="3186">
        <v>6761.3680999999997</v>
      </c>
      <c r="U55" s="3186">
        <v>521910</v>
      </c>
      <c r="V55" s="3186"/>
      <c r="W55" s="3186"/>
      <c r="X55" s="3186"/>
      <c r="Y55" s="3186"/>
      <c r="Z55" s="3186">
        <v>0</v>
      </c>
      <c r="AA55" s="3186"/>
      <c r="AB55" s="3186">
        <v>0</v>
      </c>
      <c r="AC55" s="3187">
        <v>43819</v>
      </c>
      <c r="AD55" s="3187">
        <v>45264.773614039397</v>
      </c>
      <c r="AE55" s="3187">
        <v>43847.563430902803</v>
      </c>
      <c r="AF55" s="3187"/>
      <c r="AG55" s="3187"/>
      <c r="AH55" s="3187"/>
      <c r="AI55" s="3187"/>
      <c r="AJ55" s="3187"/>
      <c r="AK55" s="3188"/>
      <c r="AL55" s="3187">
        <v>43814</v>
      </c>
      <c r="AM55" s="3188"/>
      <c r="AN55" s="3188"/>
      <c r="AO55" s="3188"/>
      <c r="AP55" s="3188"/>
      <c r="AQ55" s="3188"/>
      <c r="AR55" s="3188"/>
      <c r="AS55" s="3188"/>
      <c r="AT55" s="3188"/>
    </row>
    <row r="56" spans="1:46" ht="26.1" customHeight="1">
      <c r="A56" s="3185">
        <v>236</v>
      </c>
      <c r="B56" s="3185" t="s">
        <v>3488</v>
      </c>
      <c r="C56" s="3185" t="s">
        <v>3489</v>
      </c>
      <c r="D56" s="3185" t="s">
        <v>3490</v>
      </c>
      <c r="E56" s="3185" t="s">
        <v>3699</v>
      </c>
      <c r="F56" s="3185" t="s">
        <v>3538</v>
      </c>
      <c r="G56" s="3185" t="s">
        <v>3514</v>
      </c>
      <c r="H56" s="3185" t="s">
        <v>3509</v>
      </c>
      <c r="I56" s="3185" t="s">
        <v>114</v>
      </c>
      <c r="J56" s="3185" t="s">
        <v>3389</v>
      </c>
      <c r="K56" s="3185" t="s">
        <v>3496</v>
      </c>
      <c r="L56" s="3186">
        <v>96.65</v>
      </c>
      <c r="M56" s="3186">
        <v>77.19</v>
      </c>
      <c r="N56" s="3191">
        <v>96.65</v>
      </c>
      <c r="O56" s="3186">
        <v>77.19</v>
      </c>
      <c r="P56" s="3186">
        <v>5400</v>
      </c>
      <c r="Q56" s="3186">
        <v>6761.37</v>
      </c>
      <c r="R56" s="3186">
        <v>521910</v>
      </c>
      <c r="S56" s="3186">
        <v>5400</v>
      </c>
      <c r="T56" s="3186">
        <v>6761.3680999999997</v>
      </c>
      <c r="U56" s="3186">
        <v>521910</v>
      </c>
      <c r="V56" s="3186"/>
      <c r="W56" s="3186"/>
      <c r="X56" s="3186"/>
      <c r="Y56" s="3186"/>
      <c r="Z56" s="3186">
        <v>0</v>
      </c>
      <c r="AA56" s="3186"/>
      <c r="AB56" s="3186">
        <v>0</v>
      </c>
      <c r="AC56" s="3187">
        <v>43819</v>
      </c>
      <c r="AD56" s="3187">
        <v>45264.773614039397</v>
      </c>
      <c r="AE56" s="3187">
        <v>43847.563430902803</v>
      </c>
      <c r="AF56" s="3187"/>
      <c r="AG56" s="3187"/>
      <c r="AH56" s="3187"/>
      <c r="AI56" s="3187"/>
      <c r="AJ56" s="3187"/>
      <c r="AK56" s="3188"/>
      <c r="AL56" s="3187">
        <v>43814</v>
      </c>
      <c r="AM56" s="3188"/>
      <c r="AN56" s="3188"/>
      <c r="AO56" s="3188"/>
      <c r="AP56" s="3188"/>
      <c r="AQ56" s="3188"/>
      <c r="AR56" s="3188"/>
      <c r="AS56" s="3188"/>
      <c r="AT56" s="3188"/>
    </row>
    <row r="57" spans="1:46" ht="26.1" customHeight="1">
      <c r="A57" s="3185">
        <v>237</v>
      </c>
      <c r="B57" s="3185" t="s">
        <v>3488</v>
      </c>
      <c r="C57" s="3185" t="s">
        <v>3489</v>
      </c>
      <c r="D57" s="3185" t="s">
        <v>3490</v>
      </c>
      <c r="E57" s="3185" t="s">
        <v>3699</v>
      </c>
      <c r="F57" s="3185" t="s">
        <v>3538</v>
      </c>
      <c r="G57" s="3185" t="s">
        <v>3515</v>
      </c>
      <c r="H57" s="3185" t="s">
        <v>3509</v>
      </c>
      <c r="I57" s="3185" t="s">
        <v>114</v>
      </c>
      <c r="J57" s="3185" t="s">
        <v>3389</v>
      </c>
      <c r="K57" s="3185" t="s">
        <v>3496</v>
      </c>
      <c r="L57" s="3186">
        <v>96.65</v>
      </c>
      <c r="M57" s="3186">
        <v>77.19</v>
      </c>
      <c r="N57" s="3191">
        <v>96.65</v>
      </c>
      <c r="O57" s="3186">
        <v>77.19</v>
      </c>
      <c r="P57" s="3186">
        <v>5500</v>
      </c>
      <c r="Q57" s="3186">
        <v>6886.58</v>
      </c>
      <c r="R57" s="3186">
        <v>531575</v>
      </c>
      <c r="S57" s="3186">
        <v>5500</v>
      </c>
      <c r="T57" s="3186">
        <v>6886.5785999999998</v>
      </c>
      <c r="U57" s="3186">
        <v>531575</v>
      </c>
      <c r="V57" s="3186"/>
      <c r="W57" s="3186"/>
      <c r="X57" s="3186"/>
      <c r="Y57" s="3186"/>
      <c r="Z57" s="3186">
        <v>0</v>
      </c>
      <c r="AA57" s="3186"/>
      <c r="AB57" s="3186">
        <v>0</v>
      </c>
      <c r="AC57" s="3187">
        <v>43819</v>
      </c>
      <c r="AD57" s="3187">
        <v>45264.773614039397</v>
      </c>
      <c r="AE57" s="3187">
        <v>43847.563430902803</v>
      </c>
      <c r="AF57" s="3187"/>
      <c r="AG57" s="3187"/>
      <c r="AH57" s="3187"/>
      <c r="AI57" s="3187"/>
      <c r="AJ57" s="3187"/>
      <c r="AK57" s="3188"/>
      <c r="AL57" s="3187">
        <v>43814</v>
      </c>
      <c r="AM57" s="3188"/>
      <c r="AN57" s="3188"/>
      <c r="AO57" s="3188"/>
      <c r="AP57" s="3188"/>
      <c r="AQ57" s="3188"/>
      <c r="AR57" s="3188"/>
      <c r="AS57" s="3188"/>
      <c r="AT57" s="3188"/>
    </row>
    <row r="58" spans="1:46" ht="26.1" customHeight="1">
      <c r="A58" s="3185">
        <v>251</v>
      </c>
      <c r="B58" s="3185" t="s">
        <v>3488</v>
      </c>
      <c r="C58" s="3185" t="s">
        <v>3489</v>
      </c>
      <c r="D58" s="3185" t="s">
        <v>3490</v>
      </c>
      <c r="E58" s="3185" t="s">
        <v>3699</v>
      </c>
      <c r="F58" s="3185" t="s">
        <v>3546</v>
      </c>
      <c r="G58" s="3185" t="s">
        <v>3515</v>
      </c>
      <c r="H58" s="3185" t="s">
        <v>3509</v>
      </c>
      <c r="I58" s="3185" t="s">
        <v>114</v>
      </c>
      <c r="J58" s="3185" t="s">
        <v>3389</v>
      </c>
      <c r="K58" s="3185" t="s">
        <v>3496</v>
      </c>
      <c r="L58" s="3186">
        <v>96.65</v>
      </c>
      <c r="M58" s="3186">
        <v>77.19</v>
      </c>
      <c r="N58" s="3191">
        <v>96.65</v>
      </c>
      <c r="O58" s="3186">
        <v>77.19</v>
      </c>
      <c r="P58" s="3186">
        <v>5500</v>
      </c>
      <c r="Q58" s="3186">
        <v>6886.58</v>
      </c>
      <c r="R58" s="3186">
        <v>531575</v>
      </c>
      <c r="S58" s="3186">
        <v>5500</v>
      </c>
      <c r="T58" s="3186">
        <v>6886.5785999999998</v>
      </c>
      <c r="U58" s="3186">
        <v>531575</v>
      </c>
      <c r="V58" s="3186"/>
      <c r="W58" s="3186"/>
      <c r="X58" s="3186"/>
      <c r="Y58" s="3186"/>
      <c r="Z58" s="3186">
        <v>0</v>
      </c>
      <c r="AA58" s="3186"/>
      <c r="AB58" s="3186">
        <v>0</v>
      </c>
      <c r="AC58" s="3187">
        <v>43819</v>
      </c>
      <c r="AD58" s="3187">
        <v>45264.773614039397</v>
      </c>
      <c r="AE58" s="3187">
        <v>43847.563430902803</v>
      </c>
      <c r="AF58" s="3187"/>
      <c r="AG58" s="3187"/>
      <c r="AH58" s="3187"/>
      <c r="AI58" s="3187"/>
      <c r="AJ58" s="3187"/>
      <c r="AK58" s="3188"/>
      <c r="AL58" s="3187">
        <v>43814</v>
      </c>
      <c r="AM58" s="3188"/>
      <c r="AN58" s="3188"/>
      <c r="AO58" s="3188"/>
      <c r="AP58" s="3188"/>
      <c r="AQ58" s="3188"/>
      <c r="AR58" s="3188"/>
      <c r="AS58" s="3188"/>
      <c r="AT58" s="3188"/>
    </row>
    <row r="59" spans="1:46" ht="26.1" customHeight="1">
      <c r="A59" s="3185">
        <v>262</v>
      </c>
      <c r="B59" s="3185" t="s">
        <v>3488</v>
      </c>
      <c r="C59" s="3185" t="s">
        <v>3489</v>
      </c>
      <c r="D59" s="3185" t="s">
        <v>3490</v>
      </c>
      <c r="E59" s="3185" t="s">
        <v>3742</v>
      </c>
      <c r="F59" s="3185" t="s">
        <v>3492</v>
      </c>
      <c r="G59" s="3185" t="s">
        <v>3512</v>
      </c>
      <c r="H59" s="3185" t="s">
        <v>3509</v>
      </c>
      <c r="I59" s="3185" t="s">
        <v>115</v>
      </c>
      <c r="J59" s="3185" t="s">
        <v>3389</v>
      </c>
      <c r="K59" s="3185" t="s">
        <v>3496</v>
      </c>
      <c r="L59" s="3186">
        <v>113.03</v>
      </c>
      <c r="M59" s="3186">
        <v>92.93</v>
      </c>
      <c r="N59" s="3191">
        <v>113.03</v>
      </c>
      <c r="O59" s="3186">
        <v>92.93</v>
      </c>
      <c r="P59" s="3186">
        <v>5300</v>
      </c>
      <c r="Q59" s="3186">
        <v>6446.35</v>
      </c>
      <c r="R59" s="3186">
        <v>599059</v>
      </c>
      <c r="S59" s="3186">
        <v>5300</v>
      </c>
      <c r="T59" s="3186">
        <v>6446.3467000000001</v>
      </c>
      <c r="U59" s="3186">
        <v>599059</v>
      </c>
      <c r="V59" s="3186"/>
      <c r="W59" s="3186"/>
      <c r="X59" s="3186"/>
      <c r="Y59" s="3186"/>
      <c r="Z59" s="3186">
        <v>0</v>
      </c>
      <c r="AA59" s="3186"/>
      <c r="AB59" s="3186">
        <v>0</v>
      </c>
      <c r="AC59" s="3187">
        <v>43819</v>
      </c>
      <c r="AD59" s="3187">
        <v>45264.773614039397</v>
      </c>
      <c r="AE59" s="3187">
        <v>43847.563641585599</v>
      </c>
      <c r="AF59" s="3187"/>
      <c r="AG59" s="3187"/>
      <c r="AH59" s="3187"/>
      <c r="AI59" s="3187"/>
      <c r="AJ59" s="3187"/>
      <c r="AK59" s="3188"/>
      <c r="AL59" s="3187">
        <v>43814</v>
      </c>
      <c r="AM59" s="3188"/>
      <c r="AN59" s="3188"/>
      <c r="AO59" s="3188"/>
      <c r="AP59" s="3188"/>
      <c r="AQ59" s="3188"/>
      <c r="AR59" s="3188"/>
      <c r="AS59" s="3188"/>
      <c r="AT59" s="3188"/>
    </row>
    <row r="60" spans="1:46" ht="26.1" customHeight="1">
      <c r="A60" s="3185">
        <v>263</v>
      </c>
      <c r="B60" s="3185" t="s">
        <v>3488</v>
      </c>
      <c r="C60" s="3185" t="s">
        <v>3489</v>
      </c>
      <c r="D60" s="3185" t="s">
        <v>3490</v>
      </c>
      <c r="E60" s="3185" t="s">
        <v>3742</v>
      </c>
      <c r="F60" s="3185" t="s">
        <v>3492</v>
      </c>
      <c r="G60" s="3185" t="s">
        <v>3513</v>
      </c>
      <c r="H60" s="3185" t="s">
        <v>3509</v>
      </c>
      <c r="I60" s="3185" t="s">
        <v>115</v>
      </c>
      <c r="J60" s="3185" t="s">
        <v>3389</v>
      </c>
      <c r="K60" s="3185" t="s">
        <v>3496</v>
      </c>
      <c r="L60" s="3186">
        <v>113.03</v>
      </c>
      <c r="M60" s="3186">
        <v>92.93</v>
      </c>
      <c r="N60" s="3191">
        <v>113.03</v>
      </c>
      <c r="O60" s="3186">
        <v>92.93</v>
      </c>
      <c r="P60" s="3186">
        <v>5300</v>
      </c>
      <c r="Q60" s="3186">
        <v>6446.35</v>
      </c>
      <c r="R60" s="3186">
        <v>599059</v>
      </c>
      <c r="S60" s="3186">
        <v>5300</v>
      </c>
      <c r="T60" s="3186">
        <v>6446.3467000000001</v>
      </c>
      <c r="U60" s="3186">
        <v>599059</v>
      </c>
      <c r="V60" s="3186"/>
      <c r="W60" s="3186"/>
      <c r="X60" s="3186"/>
      <c r="Y60" s="3186"/>
      <c r="Z60" s="3186">
        <v>0</v>
      </c>
      <c r="AA60" s="3186"/>
      <c r="AB60" s="3186">
        <v>0</v>
      </c>
      <c r="AC60" s="3187">
        <v>43819</v>
      </c>
      <c r="AD60" s="3187">
        <v>45264.773614039397</v>
      </c>
      <c r="AE60" s="3187">
        <v>43847.563641585599</v>
      </c>
      <c r="AF60" s="3187"/>
      <c r="AG60" s="3187"/>
      <c r="AH60" s="3187"/>
      <c r="AI60" s="3187"/>
      <c r="AJ60" s="3187"/>
      <c r="AK60" s="3188"/>
      <c r="AL60" s="3187">
        <v>43814</v>
      </c>
      <c r="AM60" s="3188"/>
      <c r="AN60" s="3188"/>
      <c r="AO60" s="3188"/>
      <c r="AP60" s="3188"/>
      <c r="AQ60" s="3188"/>
      <c r="AR60" s="3188"/>
      <c r="AS60" s="3188"/>
      <c r="AT60" s="3188"/>
    </row>
    <row r="61" spans="1:46" ht="26.1" customHeight="1">
      <c r="A61" s="3185">
        <v>269</v>
      </c>
      <c r="B61" s="3185" t="s">
        <v>3488</v>
      </c>
      <c r="C61" s="3185" t="s">
        <v>3489</v>
      </c>
      <c r="D61" s="3185" t="s">
        <v>3490</v>
      </c>
      <c r="E61" s="3185" t="s">
        <v>3742</v>
      </c>
      <c r="F61" s="3185" t="s">
        <v>3492</v>
      </c>
      <c r="G61" s="3185" t="s">
        <v>3525</v>
      </c>
      <c r="H61" s="3185" t="s">
        <v>3509</v>
      </c>
      <c r="I61" s="3185" t="s">
        <v>115</v>
      </c>
      <c r="J61" s="3185" t="s">
        <v>3389</v>
      </c>
      <c r="K61" s="3185" t="s">
        <v>3496</v>
      </c>
      <c r="L61" s="3186">
        <v>153.91999999999999</v>
      </c>
      <c r="M61" s="3186">
        <v>126.55</v>
      </c>
      <c r="N61" s="3191">
        <v>153.91999999999999</v>
      </c>
      <c r="O61" s="3186">
        <v>126.55</v>
      </c>
      <c r="P61" s="3186">
        <v>5500</v>
      </c>
      <c r="Q61" s="3186">
        <v>6689.53</v>
      </c>
      <c r="R61" s="3186">
        <v>846560</v>
      </c>
      <c r="S61" s="3186">
        <v>5500</v>
      </c>
      <c r="T61" s="3186">
        <v>6689.5298000000003</v>
      </c>
      <c r="U61" s="3186">
        <v>846560</v>
      </c>
      <c r="V61" s="3186"/>
      <c r="W61" s="3186"/>
      <c r="X61" s="3186"/>
      <c r="Y61" s="3186"/>
      <c r="Z61" s="3186">
        <v>0</v>
      </c>
      <c r="AA61" s="3186"/>
      <c r="AB61" s="3186">
        <v>0</v>
      </c>
      <c r="AC61" s="3187">
        <v>43819</v>
      </c>
      <c r="AD61" s="3187">
        <v>45264.773614039397</v>
      </c>
      <c r="AE61" s="3187">
        <v>43847.563641585599</v>
      </c>
      <c r="AF61" s="3187"/>
      <c r="AG61" s="3187"/>
      <c r="AH61" s="3187"/>
      <c r="AI61" s="3187"/>
      <c r="AJ61" s="3187"/>
      <c r="AK61" s="3188"/>
      <c r="AL61" s="3187">
        <v>43814</v>
      </c>
      <c r="AM61" s="3188"/>
      <c r="AN61" s="3188"/>
      <c r="AO61" s="3188"/>
      <c r="AP61" s="3188"/>
      <c r="AQ61" s="3188"/>
      <c r="AR61" s="3188"/>
      <c r="AS61" s="3188"/>
      <c r="AT61" s="3188"/>
    </row>
    <row r="62" spans="1:46" ht="26.1" customHeight="1">
      <c r="A62" s="3185">
        <v>278</v>
      </c>
      <c r="B62" s="3185" t="s">
        <v>3488</v>
      </c>
      <c r="C62" s="3185" t="s">
        <v>3489</v>
      </c>
      <c r="D62" s="3185" t="s">
        <v>3490</v>
      </c>
      <c r="E62" s="3185" t="s">
        <v>3742</v>
      </c>
      <c r="F62" s="3185" t="s">
        <v>3538</v>
      </c>
      <c r="G62" s="3185" t="s">
        <v>3514</v>
      </c>
      <c r="H62" s="3185" t="s">
        <v>3509</v>
      </c>
      <c r="I62" s="3185" t="s">
        <v>115</v>
      </c>
      <c r="J62" s="3185" t="s">
        <v>3389</v>
      </c>
      <c r="K62" s="3185" t="s">
        <v>3496</v>
      </c>
      <c r="L62" s="3186">
        <v>113.03</v>
      </c>
      <c r="M62" s="3186">
        <v>92.93</v>
      </c>
      <c r="N62" s="3191">
        <v>113.03</v>
      </c>
      <c r="O62" s="3186">
        <v>92.93</v>
      </c>
      <c r="P62" s="3186">
        <v>5300</v>
      </c>
      <c r="Q62" s="3186">
        <v>6446.35</v>
      </c>
      <c r="R62" s="3186">
        <v>599059</v>
      </c>
      <c r="S62" s="3186">
        <v>5300</v>
      </c>
      <c r="T62" s="3186">
        <v>6446.3467000000001</v>
      </c>
      <c r="U62" s="3186">
        <v>599059</v>
      </c>
      <c r="V62" s="3186"/>
      <c r="W62" s="3186"/>
      <c r="X62" s="3186"/>
      <c r="Y62" s="3186"/>
      <c r="Z62" s="3186">
        <v>0</v>
      </c>
      <c r="AA62" s="3186"/>
      <c r="AB62" s="3186">
        <v>0</v>
      </c>
      <c r="AC62" s="3187">
        <v>43819</v>
      </c>
      <c r="AD62" s="3187">
        <v>45264.773614039397</v>
      </c>
      <c r="AE62" s="3187">
        <v>43847.563641585599</v>
      </c>
      <c r="AF62" s="3187"/>
      <c r="AG62" s="3187"/>
      <c r="AH62" s="3187"/>
      <c r="AI62" s="3187"/>
      <c r="AJ62" s="3187"/>
      <c r="AK62" s="3188"/>
      <c r="AL62" s="3187">
        <v>43814</v>
      </c>
      <c r="AM62" s="3188"/>
      <c r="AN62" s="3188"/>
      <c r="AO62" s="3188"/>
      <c r="AP62" s="3188"/>
      <c r="AQ62" s="3188"/>
      <c r="AR62" s="3188"/>
      <c r="AS62" s="3188"/>
      <c r="AT62" s="3188"/>
    </row>
    <row r="63" spans="1:46" ht="26.1" customHeight="1">
      <c r="A63" s="3185">
        <v>281</v>
      </c>
      <c r="B63" s="3185" t="s">
        <v>3488</v>
      </c>
      <c r="C63" s="3185" t="s">
        <v>3489</v>
      </c>
      <c r="D63" s="3185" t="s">
        <v>3490</v>
      </c>
      <c r="E63" s="3185" t="s">
        <v>3742</v>
      </c>
      <c r="F63" s="3185" t="s">
        <v>3538</v>
      </c>
      <c r="G63" s="3185" t="s">
        <v>3522</v>
      </c>
      <c r="H63" s="3185" t="s">
        <v>3509</v>
      </c>
      <c r="I63" s="3185" t="s">
        <v>115</v>
      </c>
      <c r="J63" s="3185" t="s">
        <v>3389</v>
      </c>
      <c r="K63" s="3185" t="s">
        <v>3496</v>
      </c>
      <c r="L63" s="3186">
        <v>113.03</v>
      </c>
      <c r="M63" s="3186">
        <v>92.93</v>
      </c>
      <c r="N63" s="3191">
        <v>113.03</v>
      </c>
      <c r="O63" s="3186">
        <v>92.93</v>
      </c>
      <c r="P63" s="3186">
        <v>5500</v>
      </c>
      <c r="Q63" s="3186">
        <v>6689.61</v>
      </c>
      <c r="R63" s="3186">
        <v>621665</v>
      </c>
      <c r="S63" s="3186">
        <v>5500</v>
      </c>
      <c r="T63" s="3186">
        <v>6689.6050999999998</v>
      </c>
      <c r="U63" s="3186">
        <v>621665</v>
      </c>
      <c r="V63" s="3186"/>
      <c r="W63" s="3186"/>
      <c r="X63" s="3186"/>
      <c r="Y63" s="3186"/>
      <c r="Z63" s="3186">
        <v>0</v>
      </c>
      <c r="AA63" s="3186"/>
      <c r="AB63" s="3186">
        <v>0</v>
      </c>
      <c r="AC63" s="3187">
        <v>43819</v>
      </c>
      <c r="AD63" s="3187">
        <v>45264.773614039397</v>
      </c>
      <c r="AE63" s="3187">
        <v>43847.563641585599</v>
      </c>
      <c r="AF63" s="3187"/>
      <c r="AG63" s="3187"/>
      <c r="AH63" s="3188"/>
      <c r="AI63" s="3188"/>
      <c r="AJ63" s="3187"/>
      <c r="AK63" s="3188"/>
      <c r="AL63" s="3187">
        <v>43814</v>
      </c>
      <c r="AM63" s="3188"/>
      <c r="AN63" s="3188"/>
      <c r="AO63" s="3188"/>
      <c r="AP63" s="3188"/>
      <c r="AQ63" s="3188"/>
      <c r="AR63" s="3188"/>
      <c r="AS63" s="3188"/>
      <c r="AT63" s="3188"/>
    </row>
    <row r="64" spans="1:46" ht="26.1" customHeight="1">
      <c r="A64" s="3185">
        <v>284</v>
      </c>
      <c r="B64" s="3185" t="s">
        <v>3488</v>
      </c>
      <c r="C64" s="3185" t="s">
        <v>3489</v>
      </c>
      <c r="D64" s="3185" t="s">
        <v>3490</v>
      </c>
      <c r="E64" s="3185" t="s">
        <v>3742</v>
      </c>
      <c r="F64" s="3185" t="s">
        <v>3538</v>
      </c>
      <c r="G64" s="3185" t="s">
        <v>3528</v>
      </c>
      <c r="H64" s="3185" t="s">
        <v>3509</v>
      </c>
      <c r="I64" s="3185" t="s">
        <v>115</v>
      </c>
      <c r="J64" s="3185" t="s">
        <v>3389</v>
      </c>
      <c r="K64" s="3185" t="s">
        <v>3496</v>
      </c>
      <c r="L64" s="3186">
        <v>153.91999999999999</v>
      </c>
      <c r="M64" s="3186">
        <v>126.55</v>
      </c>
      <c r="N64" s="3191">
        <v>153.91999999999999</v>
      </c>
      <c r="O64" s="3186">
        <v>126.55</v>
      </c>
      <c r="P64" s="3186">
        <v>5500</v>
      </c>
      <c r="Q64" s="3186">
        <v>6689.53</v>
      </c>
      <c r="R64" s="3186">
        <v>846560</v>
      </c>
      <c r="S64" s="3186">
        <v>5500</v>
      </c>
      <c r="T64" s="3186">
        <v>6689.5298000000003</v>
      </c>
      <c r="U64" s="3186">
        <v>846560</v>
      </c>
      <c r="V64" s="3186"/>
      <c r="W64" s="3186"/>
      <c r="X64" s="3186"/>
      <c r="Y64" s="3186"/>
      <c r="Z64" s="3186">
        <v>0</v>
      </c>
      <c r="AA64" s="3186"/>
      <c r="AB64" s="3186">
        <v>0</v>
      </c>
      <c r="AC64" s="3187">
        <v>43819</v>
      </c>
      <c r="AD64" s="3187">
        <v>45264.773614039397</v>
      </c>
      <c r="AE64" s="3187">
        <v>43847.563641585599</v>
      </c>
      <c r="AF64" s="3187"/>
      <c r="AG64" s="3187"/>
      <c r="AH64" s="3187"/>
      <c r="AI64" s="3187"/>
      <c r="AJ64" s="3187"/>
      <c r="AK64" s="3188"/>
      <c r="AL64" s="3187">
        <v>43814</v>
      </c>
      <c r="AM64" s="3188"/>
      <c r="AN64" s="3188"/>
      <c r="AO64" s="3188"/>
      <c r="AP64" s="3188"/>
      <c r="AQ64" s="3188"/>
      <c r="AR64" s="3188"/>
      <c r="AS64" s="3188"/>
      <c r="AT64" s="3188"/>
    </row>
    <row r="65" spans="1:46" ht="26.1" customHeight="1">
      <c r="A65" s="3185">
        <v>293</v>
      </c>
      <c r="B65" s="3185" t="s">
        <v>3488</v>
      </c>
      <c r="C65" s="3185" t="s">
        <v>3489</v>
      </c>
      <c r="D65" s="3185" t="s">
        <v>3490</v>
      </c>
      <c r="E65" s="3185" t="s">
        <v>3742</v>
      </c>
      <c r="F65" s="3185" t="s">
        <v>3546</v>
      </c>
      <c r="G65" s="3185" t="s">
        <v>3515</v>
      </c>
      <c r="H65" s="3185" t="s">
        <v>3509</v>
      </c>
      <c r="I65" s="3185" t="s">
        <v>115</v>
      </c>
      <c r="J65" s="3185" t="s">
        <v>3389</v>
      </c>
      <c r="K65" s="3185" t="s">
        <v>3496</v>
      </c>
      <c r="L65" s="3186">
        <v>113.03</v>
      </c>
      <c r="M65" s="3186">
        <v>92.93</v>
      </c>
      <c r="N65" s="3191">
        <v>113.03</v>
      </c>
      <c r="O65" s="3186">
        <v>92.93</v>
      </c>
      <c r="P65" s="3186">
        <v>5500</v>
      </c>
      <c r="Q65" s="3186">
        <v>6689.61</v>
      </c>
      <c r="R65" s="3186">
        <v>621665</v>
      </c>
      <c r="S65" s="3186">
        <v>5500</v>
      </c>
      <c r="T65" s="3186">
        <v>6689.6050999999998</v>
      </c>
      <c r="U65" s="3186">
        <v>621665</v>
      </c>
      <c r="V65" s="3186"/>
      <c r="W65" s="3186"/>
      <c r="X65" s="3186"/>
      <c r="Y65" s="3186"/>
      <c r="Z65" s="3186">
        <v>0</v>
      </c>
      <c r="AA65" s="3186"/>
      <c r="AB65" s="3186">
        <v>0</v>
      </c>
      <c r="AC65" s="3187">
        <v>43819</v>
      </c>
      <c r="AD65" s="3187">
        <v>45264.773614039397</v>
      </c>
      <c r="AE65" s="3187">
        <v>43847.563641585599</v>
      </c>
      <c r="AF65" s="3187"/>
      <c r="AG65" s="3187"/>
      <c r="AH65" s="3187"/>
      <c r="AI65" s="3187"/>
      <c r="AJ65" s="3187"/>
      <c r="AK65" s="3188"/>
      <c r="AL65" s="3187">
        <v>43814</v>
      </c>
      <c r="AM65" s="3188"/>
      <c r="AN65" s="3188"/>
      <c r="AO65" s="3188"/>
      <c r="AP65" s="3188"/>
      <c r="AQ65" s="3188"/>
      <c r="AR65" s="3188"/>
      <c r="AS65" s="3188"/>
      <c r="AT65" s="3188"/>
    </row>
    <row r="66" spans="1:46" ht="26.1" customHeight="1">
      <c r="A66" s="3185">
        <v>297</v>
      </c>
      <c r="B66" s="3185" t="s">
        <v>3488</v>
      </c>
      <c r="C66" s="3185" t="s">
        <v>3489</v>
      </c>
      <c r="D66" s="3185" t="s">
        <v>3490</v>
      </c>
      <c r="E66" s="3185" t="s">
        <v>3742</v>
      </c>
      <c r="F66" s="3185" t="s">
        <v>3546</v>
      </c>
      <c r="G66" s="3185" t="s">
        <v>3525</v>
      </c>
      <c r="H66" s="3185" t="s">
        <v>3509</v>
      </c>
      <c r="I66" s="3185" t="s">
        <v>115</v>
      </c>
      <c r="J66" s="3185" t="s">
        <v>3389</v>
      </c>
      <c r="K66" s="3185" t="s">
        <v>3496</v>
      </c>
      <c r="L66" s="3186">
        <v>153.91999999999999</v>
      </c>
      <c r="M66" s="3186">
        <v>126.55</v>
      </c>
      <c r="N66" s="3191">
        <v>153.91999999999999</v>
      </c>
      <c r="O66" s="3186">
        <v>126.55</v>
      </c>
      <c r="P66" s="3186">
        <v>5550</v>
      </c>
      <c r="Q66" s="3186">
        <v>6750.34</v>
      </c>
      <c r="R66" s="3186">
        <v>854256</v>
      </c>
      <c r="S66" s="3186">
        <v>5550</v>
      </c>
      <c r="T66" s="3186">
        <v>6750.3437000000004</v>
      </c>
      <c r="U66" s="3186">
        <v>854256</v>
      </c>
      <c r="V66" s="3186"/>
      <c r="W66" s="3186"/>
      <c r="X66" s="3186"/>
      <c r="Y66" s="3186"/>
      <c r="Z66" s="3186">
        <v>0</v>
      </c>
      <c r="AA66" s="3186"/>
      <c r="AB66" s="3186">
        <v>0</v>
      </c>
      <c r="AC66" s="3187">
        <v>43819</v>
      </c>
      <c r="AD66" s="3187">
        <v>45264.773614039397</v>
      </c>
      <c r="AE66" s="3187">
        <v>43847.563641585599</v>
      </c>
      <c r="AF66" s="3187"/>
      <c r="AG66" s="3187"/>
      <c r="AH66" s="3187"/>
      <c r="AI66" s="3188"/>
      <c r="AJ66" s="3187"/>
      <c r="AK66" s="3188"/>
      <c r="AL66" s="3187">
        <v>43814</v>
      </c>
      <c r="AM66" s="3188"/>
      <c r="AN66" s="3188"/>
      <c r="AO66" s="3188"/>
      <c r="AP66" s="3188"/>
      <c r="AQ66" s="3188"/>
      <c r="AR66" s="3188"/>
      <c r="AS66" s="3188"/>
      <c r="AT66" s="3188"/>
    </row>
    <row r="67" spans="1:46" ht="26.1" customHeight="1">
      <c r="A67" s="3185">
        <v>301</v>
      </c>
      <c r="B67" s="3185" t="s">
        <v>3488</v>
      </c>
      <c r="C67" s="3185" t="s">
        <v>3489</v>
      </c>
      <c r="D67" s="3185" t="s">
        <v>3490</v>
      </c>
      <c r="E67" s="3185" t="s">
        <v>3776</v>
      </c>
      <c r="F67" s="3185" t="s">
        <v>3492</v>
      </c>
      <c r="G67" s="3185" t="s">
        <v>3508</v>
      </c>
      <c r="H67" s="3185" t="s">
        <v>3509</v>
      </c>
      <c r="I67" s="3185" t="s">
        <v>3777</v>
      </c>
      <c r="J67" s="3185" t="s">
        <v>3389</v>
      </c>
      <c r="K67" s="3185" t="s">
        <v>3496</v>
      </c>
      <c r="L67" s="3186">
        <v>114.36</v>
      </c>
      <c r="M67" s="3186">
        <v>92.93</v>
      </c>
      <c r="N67" s="3191">
        <v>114.36</v>
      </c>
      <c r="O67" s="3186">
        <v>92.93</v>
      </c>
      <c r="P67" s="3186">
        <v>4300</v>
      </c>
      <c r="Q67" s="3186">
        <v>5291.6</v>
      </c>
      <c r="R67" s="3186">
        <v>491748</v>
      </c>
      <c r="S67" s="3186">
        <v>4300</v>
      </c>
      <c r="T67" s="3186">
        <v>5291.5958000000001</v>
      </c>
      <c r="U67" s="3186">
        <v>491748</v>
      </c>
      <c r="V67" s="3186"/>
      <c r="W67" s="3186"/>
      <c r="X67" s="3186"/>
      <c r="Y67" s="3186"/>
      <c r="Z67" s="3186">
        <v>0</v>
      </c>
      <c r="AA67" s="3186"/>
      <c r="AB67" s="3186">
        <v>0</v>
      </c>
      <c r="AC67" s="3187">
        <v>44006</v>
      </c>
      <c r="AD67" s="3187">
        <v>45264.773614039397</v>
      </c>
      <c r="AE67" s="3187">
        <v>44090.403246412003</v>
      </c>
      <c r="AF67" s="3187"/>
      <c r="AG67" s="3187"/>
      <c r="AH67" s="3187"/>
      <c r="AI67" s="3187"/>
      <c r="AJ67" s="3187"/>
      <c r="AK67" s="3188">
        <v>44834</v>
      </c>
      <c r="AL67" s="3187">
        <v>44006</v>
      </c>
      <c r="AM67" s="3188"/>
      <c r="AN67" s="3188"/>
      <c r="AO67" s="3188"/>
      <c r="AP67" s="3188"/>
      <c r="AQ67" s="3188"/>
      <c r="AR67" s="3188"/>
      <c r="AS67" s="3188"/>
      <c r="AT67" s="3188"/>
    </row>
    <row r="68" spans="1:46" ht="26.1" customHeight="1">
      <c r="A68" s="3185">
        <v>302</v>
      </c>
      <c r="B68" s="3185" t="s">
        <v>3488</v>
      </c>
      <c r="C68" s="3185" t="s">
        <v>3489</v>
      </c>
      <c r="D68" s="3185" t="s">
        <v>3490</v>
      </c>
      <c r="E68" s="3185" t="s">
        <v>3776</v>
      </c>
      <c r="F68" s="3185" t="s">
        <v>3492</v>
      </c>
      <c r="G68" s="3185" t="s">
        <v>3510</v>
      </c>
      <c r="H68" s="3185" t="s">
        <v>3509</v>
      </c>
      <c r="I68" s="3185" t="s">
        <v>3777</v>
      </c>
      <c r="J68" s="3185" t="s">
        <v>3389</v>
      </c>
      <c r="K68" s="3185" t="s">
        <v>3496</v>
      </c>
      <c r="L68" s="3186">
        <v>114.36</v>
      </c>
      <c r="M68" s="3186">
        <v>92.93</v>
      </c>
      <c r="N68" s="3191">
        <v>114.36</v>
      </c>
      <c r="O68" s="3186">
        <v>92.93</v>
      </c>
      <c r="P68" s="3186">
        <v>4300</v>
      </c>
      <c r="Q68" s="3186">
        <v>5291.6</v>
      </c>
      <c r="R68" s="3186">
        <v>491748</v>
      </c>
      <c r="S68" s="3186">
        <v>4300</v>
      </c>
      <c r="T68" s="3186">
        <v>5291.5958000000001</v>
      </c>
      <c r="U68" s="3186">
        <v>491748</v>
      </c>
      <c r="V68" s="3186"/>
      <c r="W68" s="3186"/>
      <c r="X68" s="3186"/>
      <c r="Y68" s="3186"/>
      <c r="Z68" s="3186">
        <v>0</v>
      </c>
      <c r="AA68" s="3186"/>
      <c r="AB68" s="3186">
        <v>0</v>
      </c>
      <c r="AC68" s="3187">
        <v>44006</v>
      </c>
      <c r="AD68" s="3187">
        <v>45264.773614039397</v>
      </c>
      <c r="AE68" s="3187">
        <v>44090.403246412003</v>
      </c>
      <c r="AF68" s="3187"/>
      <c r="AG68" s="3187"/>
      <c r="AH68" s="3188"/>
      <c r="AI68" s="3188"/>
      <c r="AJ68" s="3187"/>
      <c r="AK68" s="3188">
        <v>44834</v>
      </c>
      <c r="AL68" s="3187">
        <v>44006</v>
      </c>
      <c r="AM68" s="3188"/>
      <c r="AN68" s="3188"/>
      <c r="AO68" s="3188"/>
      <c r="AP68" s="3188"/>
      <c r="AQ68" s="3188"/>
      <c r="AR68" s="3188"/>
      <c r="AS68" s="3188"/>
      <c r="AT68" s="3188"/>
    </row>
    <row r="69" spans="1:46" ht="26.1" customHeight="1">
      <c r="A69" s="3185">
        <v>303</v>
      </c>
      <c r="B69" s="3185" t="s">
        <v>3488</v>
      </c>
      <c r="C69" s="3185" t="s">
        <v>3489</v>
      </c>
      <c r="D69" s="3185" t="s">
        <v>3490</v>
      </c>
      <c r="E69" s="3185" t="s">
        <v>3776</v>
      </c>
      <c r="F69" s="3185" t="s">
        <v>3492</v>
      </c>
      <c r="G69" s="3185" t="s">
        <v>3511</v>
      </c>
      <c r="H69" s="3185" t="s">
        <v>3509</v>
      </c>
      <c r="I69" s="3185" t="s">
        <v>3777</v>
      </c>
      <c r="J69" s="3185" t="s">
        <v>3389</v>
      </c>
      <c r="K69" s="3185" t="s">
        <v>3496</v>
      </c>
      <c r="L69" s="3186">
        <v>114.36</v>
      </c>
      <c r="M69" s="3186">
        <v>92.93</v>
      </c>
      <c r="N69" s="3191">
        <v>114.36</v>
      </c>
      <c r="O69" s="3186">
        <v>92.93</v>
      </c>
      <c r="P69" s="3186">
        <v>4350</v>
      </c>
      <c r="Q69" s="3186">
        <v>5353.13</v>
      </c>
      <c r="R69" s="3186">
        <v>497466</v>
      </c>
      <c r="S69" s="3186">
        <v>4350</v>
      </c>
      <c r="T69" s="3186">
        <v>5353.1260000000002</v>
      </c>
      <c r="U69" s="3186">
        <v>497466</v>
      </c>
      <c r="V69" s="3186"/>
      <c r="W69" s="3186"/>
      <c r="X69" s="3186"/>
      <c r="Y69" s="3186"/>
      <c r="Z69" s="3186">
        <v>0</v>
      </c>
      <c r="AA69" s="3186"/>
      <c r="AB69" s="3186">
        <v>0</v>
      </c>
      <c r="AC69" s="3187">
        <v>44006</v>
      </c>
      <c r="AD69" s="3187">
        <v>45264.773614039397</v>
      </c>
      <c r="AE69" s="3187">
        <v>44090.403246412003</v>
      </c>
      <c r="AF69" s="3187"/>
      <c r="AG69" s="3187"/>
      <c r="AH69" s="3187"/>
      <c r="AI69" s="3187"/>
      <c r="AJ69" s="3187"/>
      <c r="AK69" s="3188"/>
      <c r="AL69" s="3187">
        <v>44006</v>
      </c>
      <c r="AM69" s="3188"/>
      <c r="AN69" s="3188"/>
      <c r="AO69" s="3188"/>
      <c r="AP69" s="3188"/>
      <c r="AQ69" s="3188"/>
      <c r="AR69" s="3188"/>
      <c r="AS69" s="3188"/>
      <c r="AT69" s="3188"/>
    </row>
    <row r="70" spans="1:46" ht="26.1" customHeight="1">
      <c r="A70" s="3185">
        <v>304</v>
      </c>
      <c r="B70" s="3185" t="s">
        <v>3488</v>
      </c>
      <c r="C70" s="3185" t="s">
        <v>3489</v>
      </c>
      <c r="D70" s="3185" t="s">
        <v>3490</v>
      </c>
      <c r="E70" s="3185" t="s">
        <v>3776</v>
      </c>
      <c r="F70" s="3185" t="s">
        <v>3492</v>
      </c>
      <c r="G70" s="3185" t="s">
        <v>3512</v>
      </c>
      <c r="H70" s="3185" t="s">
        <v>3509</v>
      </c>
      <c r="I70" s="3185" t="s">
        <v>3777</v>
      </c>
      <c r="J70" s="3185" t="s">
        <v>3389</v>
      </c>
      <c r="K70" s="3185" t="s">
        <v>3496</v>
      </c>
      <c r="L70" s="3186">
        <v>114.36</v>
      </c>
      <c r="M70" s="3186">
        <v>92.93</v>
      </c>
      <c r="N70" s="3191">
        <v>114.36</v>
      </c>
      <c r="O70" s="3186">
        <v>92.93</v>
      </c>
      <c r="P70" s="3186">
        <v>4350</v>
      </c>
      <c r="Q70" s="3186">
        <v>5353.13</v>
      </c>
      <c r="R70" s="3186">
        <v>497466</v>
      </c>
      <c r="S70" s="3186">
        <v>4350</v>
      </c>
      <c r="T70" s="3186">
        <v>5353.1260000000002</v>
      </c>
      <c r="U70" s="3186">
        <v>497466</v>
      </c>
      <c r="V70" s="3186"/>
      <c r="W70" s="3186"/>
      <c r="X70" s="3186"/>
      <c r="Y70" s="3186"/>
      <c r="Z70" s="3186">
        <v>0</v>
      </c>
      <c r="AA70" s="3186"/>
      <c r="AB70" s="3186">
        <v>0</v>
      </c>
      <c r="AC70" s="3187">
        <v>44006</v>
      </c>
      <c r="AD70" s="3187">
        <v>45264.773614039397</v>
      </c>
      <c r="AE70" s="3187">
        <v>44090.403246412003</v>
      </c>
      <c r="AF70" s="3187"/>
      <c r="AG70" s="3187"/>
      <c r="AH70" s="3187"/>
      <c r="AI70" s="3187"/>
      <c r="AJ70" s="3187"/>
      <c r="AK70" s="3188">
        <v>44834</v>
      </c>
      <c r="AL70" s="3187">
        <v>44006</v>
      </c>
      <c r="AM70" s="3188"/>
      <c r="AN70" s="3188"/>
      <c r="AO70" s="3188"/>
      <c r="AP70" s="3188"/>
      <c r="AQ70" s="3188"/>
      <c r="AR70" s="3188"/>
      <c r="AS70" s="3188"/>
      <c r="AT70" s="3188"/>
    </row>
    <row r="71" spans="1:46" ht="26.1" customHeight="1">
      <c r="A71" s="3185">
        <v>305</v>
      </c>
      <c r="B71" s="3185" t="s">
        <v>3488</v>
      </c>
      <c r="C71" s="3185" t="s">
        <v>3489</v>
      </c>
      <c r="D71" s="3185" t="s">
        <v>3490</v>
      </c>
      <c r="E71" s="3185" t="s">
        <v>3776</v>
      </c>
      <c r="F71" s="3185" t="s">
        <v>3492</v>
      </c>
      <c r="G71" s="3185" t="s">
        <v>3513</v>
      </c>
      <c r="H71" s="3185" t="s">
        <v>3509</v>
      </c>
      <c r="I71" s="3185" t="s">
        <v>3777</v>
      </c>
      <c r="J71" s="3185" t="s">
        <v>3389</v>
      </c>
      <c r="K71" s="3185" t="s">
        <v>3496</v>
      </c>
      <c r="L71" s="3186">
        <v>114.36</v>
      </c>
      <c r="M71" s="3186">
        <v>92.93</v>
      </c>
      <c r="N71" s="3191">
        <v>114.36</v>
      </c>
      <c r="O71" s="3186">
        <v>92.93</v>
      </c>
      <c r="P71" s="3186">
        <v>4400</v>
      </c>
      <c r="Q71" s="3186">
        <v>5414.66</v>
      </c>
      <c r="R71" s="3186">
        <v>503184</v>
      </c>
      <c r="S71" s="3186">
        <v>4400</v>
      </c>
      <c r="T71" s="3186">
        <v>5414.6562000000004</v>
      </c>
      <c r="U71" s="3186">
        <v>503184</v>
      </c>
      <c r="V71" s="3186"/>
      <c r="W71" s="3186"/>
      <c r="X71" s="3186"/>
      <c r="Y71" s="3186"/>
      <c r="Z71" s="3186">
        <v>0</v>
      </c>
      <c r="AA71" s="3186"/>
      <c r="AB71" s="3186">
        <v>0</v>
      </c>
      <c r="AC71" s="3187">
        <v>44006</v>
      </c>
      <c r="AD71" s="3187">
        <v>45264.773614039397</v>
      </c>
      <c r="AE71" s="3187">
        <v>44090.403246412003</v>
      </c>
      <c r="AF71" s="3187"/>
      <c r="AG71" s="3187"/>
      <c r="AH71" s="3187"/>
      <c r="AI71" s="3187"/>
      <c r="AJ71" s="3187"/>
      <c r="AK71" s="3188">
        <v>44834</v>
      </c>
      <c r="AL71" s="3187">
        <v>44006</v>
      </c>
      <c r="AM71" s="3188"/>
      <c r="AN71" s="3188"/>
      <c r="AO71" s="3188"/>
      <c r="AP71" s="3188"/>
      <c r="AQ71" s="3188"/>
      <c r="AR71" s="3188"/>
      <c r="AS71" s="3188"/>
      <c r="AT71" s="3188"/>
    </row>
    <row r="72" spans="1:46" ht="26.1" customHeight="1">
      <c r="A72" s="3185">
        <v>306</v>
      </c>
      <c r="B72" s="3185" t="s">
        <v>3488</v>
      </c>
      <c r="C72" s="3185" t="s">
        <v>3489</v>
      </c>
      <c r="D72" s="3185" t="s">
        <v>3490</v>
      </c>
      <c r="E72" s="3185" t="s">
        <v>3776</v>
      </c>
      <c r="F72" s="3185" t="s">
        <v>3492</v>
      </c>
      <c r="G72" s="3185" t="s">
        <v>3514</v>
      </c>
      <c r="H72" s="3185" t="s">
        <v>3509</v>
      </c>
      <c r="I72" s="3185" t="s">
        <v>3777</v>
      </c>
      <c r="J72" s="3185" t="s">
        <v>3389</v>
      </c>
      <c r="K72" s="3185" t="s">
        <v>3496</v>
      </c>
      <c r="L72" s="3186">
        <v>114.36</v>
      </c>
      <c r="M72" s="3186">
        <v>92.93</v>
      </c>
      <c r="N72" s="3191">
        <v>114.36</v>
      </c>
      <c r="O72" s="3186">
        <v>92.93</v>
      </c>
      <c r="P72" s="3186">
        <v>4400</v>
      </c>
      <c r="Q72" s="3186">
        <v>5414.66</v>
      </c>
      <c r="R72" s="3186">
        <v>503184</v>
      </c>
      <c r="S72" s="3186">
        <v>4400</v>
      </c>
      <c r="T72" s="3186">
        <v>5414.6562000000004</v>
      </c>
      <c r="U72" s="3186">
        <v>503184</v>
      </c>
      <c r="V72" s="3186"/>
      <c r="W72" s="3186"/>
      <c r="X72" s="3186"/>
      <c r="Y72" s="3186"/>
      <c r="Z72" s="3186">
        <v>0</v>
      </c>
      <c r="AA72" s="3186"/>
      <c r="AB72" s="3186">
        <v>0</v>
      </c>
      <c r="AC72" s="3187">
        <v>44006</v>
      </c>
      <c r="AD72" s="3187">
        <v>45264.773614039397</v>
      </c>
      <c r="AE72" s="3187">
        <v>44090.403246412003</v>
      </c>
      <c r="AF72" s="3188"/>
      <c r="AG72" s="3187"/>
      <c r="AH72" s="3187"/>
      <c r="AI72" s="3187"/>
      <c r="AJ72" s="3187"/>
      <c r="AK72" s="3188"/>
      <c r="AL72" s="3187">
        <v>44006</v>
      </c>
      <c r="AM72" s="3188"/>
      <c r="AN72" s="3188"/>
      <c r="AO72" s="3188"/>
      <c r="AP72" s="3188"/>
      <c r="AQ72" s="3188"/>
      <c r="AR72" s="3188"/>
      <c r="AS72" s="3188"/>
      <c r="AT72" s="3188"/>
    </row>
    <row r="73" spans="1:46" ht="26.1" customHeight="1">
      <c r="A73" s="3185">
        <v>307</v>
      </c>
      <c r="B73" s="3185" t="s">
        <v>3488</v>
      </c>
      <c r="C73" s="3185" t="s">
        <v>3489</v>
      </c>
      <c r="D73" s="3185" t="s">
        <v>3490</v>
      </c>
      <c r="E73" s="3185" t="s">
        <v>3776</v>
      </c>
      <c r="F73" s="3185" t="s">
        <v>3492</v>
      </c>
      <c r="G73" s="3185" t="s">
        <v>3515</v>
      </c>
      <c r="H73" s="3185" t="s">
        <v>3509</v>
      </c>
      <c r="I73" s="3185" t="s">
        <v>3777</v>
      </c>
      <c r="J73" s="3185" t="s">
        <v>3389</v>
      </c>
      <c r="K73" s="3185" t="s">
        <v>3496</v>
      </c>
      <c r="L73" s="3186">
        <v>114.36</v>
      </c>
      <c r="M73" s="3186">
        <v>92.93</v>
      </c>
      <c r="N73" s="3191">
        <v>114.36</v>
      </c>
      <c r="O73" s="3186">
        <v>92.93</v>
      </c>
      <c r="P73" s="3186">
        <v>4600</v>
      </c>
      <c r="Q73" s="3186">
        <v>5660.78</v>
      </c>
      <c r="R73" s="3186">
        <v>526056</v>
      </c>
      <c r="S73" s="3186">
        <v>4600</v>
      </c>
      <c r="T73" s="3186">
        <v>5660.7768999999998</v>
      </c>
      <c r="U73" s="3186">
        <v>526056</v>
      </c>
      <c r="V73" s="3186"/>
      <c r="W73" s="3186"/>
      <c r="X73" s="3186"/>
      <c r="Y73" s="3186"/>
      <c r="Z73" s="3186">
        <v>0</v>
      </c>
      <c r="AA73" s="3186"/>
      <c r="AB73" s="3186">
        <v>0</v>
      </c>
      <c r="AC73" s="3187">
        <v>44006</v>
      </c>
      <c r="AD73" s="3187">
        <v>45264.773614039397</v>
      </c>
      <c r="AE73" s="3187">
        <v>44090.403246412003</v>
      </c>
      <c r="AF73" s="3187"/>
      <c r="AG73" s="3187"/>
      <c r="AH73" s="3187"/>
      <c r="AI73" s="3187"/>
      <c r="AJ73" s="3187"/>
      <c r="AK73" s="3188">
        <v>44834</v>
      </c>
      <c r="AL73" s="3187">
        <v>44006</v>
      </c>
      <c r="AM73" s="3188"/>
      <c r="AN73" s="3188"/>
      <c r="AO73" s="3188"/>
      <c r="AP73" s="3188"/>
      <c r="AQ73" s="3188"/>
      <c r="AR73" s="3188"/>
      <c r="AS73" s="3188"/>
      <c r="AT73" s="3188"/>
    </row>
    <row r="74" spans="1:46" ht="26.1" customHeight="1">
      <c r="A74" s="3185">
        <v>308</v>
      </c>
      <c r="B74" s="3185" t="s">
        <v>3488</v>
      </c>
      <c r="C74" s="3185" t="s">
        <v>3489</v>
      </c>
      <c r="D74" s="3185" t="s">
        <v>3490</v>
      </c>
      <c r="E74" s="3185" t="s">
        <v>3776</v>
      </c>
      <c r="F74" s="3185" t="s">
        <v>3492</v>
      </c>
      <c r="G74" s="3185" t="s">
        <v>3521</v>
      </c>
      <c r="H74" s="3185" t="s">
        <v>3509</v>
      </c>
      <c r="I74" s="3185" t="s">
        <v>3777</v>
      </c>
      <c r="J74" s="3185" t="s">
        <v>3389</v>
      </c>
      <c r="K74" s="3185" t="s">
        <v>3496</v>
      </c>
      <c r="L74" s="3186">
        <v>114.36</v>
      </c>
      <c r="M74" s="3186">
        <v>92.93</v>
      </c>
      <c r="N74" s="3191">
        <v>114.36</v>
      </c>
      <c r="O74" s="3186">
        <v>92.93</v>
      </c>
      <c r="P74" s="3186">
        <v>4600</v>
      </c>
      <c r="Q74" s="3186">
        <v>5660.78</v>
      </c>
      <c r="R74" s="3186">
        <v>526056</v>
      </c>
      <c r="S74" s="3186">
        <v>4600</v>
      </c>
      <c r="T74" s="3186">
        <v>5660.7768999999998</v>
      </c>
      <c r="U74" s="3186">
        <v>526056</v>
      </c>
      <c r="V74" s="3186"/>
      <c r="W74" s="3186"/>
      <c r="X74" s="3186"/>
      <c r="Y74" s="3186"/>
      <c r="Z74" s="3186">
        <v>0</v>
      </c>
      <c r="AA74" s="3186"/>
      <c r="AB74" s="3186">
        <v>0</v>
      </c>
      <c r="AC74" s="3187">
        <v>44006</v>
      </c>
      <c r="AD74" s="3187">
        <v>45264.773614039397</v>
      </c>
      <c r="AE74" s="3187">
        <v>44090.403246412003</v>
      </c>
      <c r="AF74" s="3187"/>
      <c r="AG74" s="3187"/>
      <c r="AH74" s="3187"/>
      <c r="AI74" s="3187"/>
      <c r="AJ74" s="3187"/>
      <c r="AK74" s="3188">
        <v>44834</v>
      </c>
      <c r="AL74" s="3187">
        <v>44006</v>
      </c>
      <c r="AM74" s="3188"/>
      <c r="AN74" s="3188"/>
      <c r="AO74" s="3188"/>
      <c r="AP74" s="3188"/>
      <c r="AQ74" s="3188"/>
      <c r="AR74" s="3188"/>
      <c r="AS74" s="3188"/>
      <c r="AT74" s="3188"/>
    </row>
    <row r="75" spans="1:46" ht="26.1" customHeight="1">
      <c r="A75" s="3185">
        <v>309</v>
      </c>
      <c r="B75" s="3185" t="s">
        <v>3488</v>
      </c>
      <c r="C75" s="3185" t="s">
        <v>3489</v>
      </c>
      <c r="D75" s="3185" t="s">
        <v>3490</v>
      </c>
      <c r="E75" s="3185" t="s">
        <v>3776</v>
      </c>
      <c r="F75" s="3185" t="s">
        <v>3492</v>
      </c>
      <c r="G75" s="3185" t="s">
        <v>3522</v>
      </c>
      <c r="H75" s="3185" t="s">
        <v>3509</v>
      </c>
      <c r="I75" s="3185" t="s">
        <v>3777</v>
      </c>
      <c r="J75" s="3185" t="s">
        <v>3389</v>
      </c>
      <c r="K75" s="3185" t="s">
        <v>3496</v>
      </c>
      <c r="L75" s="3186">
        <v>114.36</v>
      </c>
      <c r="M75" s="3186">
        <v>92.93</v>
      </c>
      <c r="N75" s="3191">
        <v>114.36</v>
      </c>
      <c r="O75" s="3186">
        <v>92.93</v>
      </c>
      <c r="P75" s="3186">
        <v>4600</v>
      </c>
      <c r="Q75" s="3186">
        <v>5660.78</v>
      </c>
      <c r="R75" s="3186">
        <v>526056</v>
      </c>
      <c r="S75" s="3186">
        <v>4600</v>
      </c>
      <c r="T75" s="3186">
        <v>5660.7768999999998</v>
      </c>
      <c r="U75" s="3186">
        <v>526056</v>
      </c>
      <c r="V75" s="3186"/>
      <c r="W75" s="3186"/>
      <c r="X75" s="3186"/>
      <c r="Y75" s="3186"/>
      <c r="Z75" s="3186">
        <v>0</v>
      </c>
      <c r="AA75" s="3186"/>
      <c r="AB75" s="3186">
        <v>0</v>
      </c>
      <c r="AC75" s="3187">
        <v>44006</v>
      </c>
      <c r="AD75" s="3187">
        <v>45264.773614039397</v>
      </c>
      <c r="AE75" s="3187">
        <v>44090.403246412003</v>
      </c>
      <c r="AF75" s="3187"/>
      <c r="AG75" s="3187"/>
      <c r="AH75" s="3187"/>
      <c r="AI75" s="3187"/>
      <c r="AJ75" s="3187"/>
      <c r="AK75" s="3188">
        <v>44834</v>
      </c>
      <c r="AL75" s="3187">
        <v>44006</v>
      </c>
      <c r="AM75" s="3188"/>
      <c r="AN75" s="3188"/>
      <c r="AO75" s="3188"/>
      <c r="AP75" s="3188"/>
      <c r="AQ75" s="3188"/>
      <c r="AR75" s="3188"/>
      <c r="AS75" s="3188"/>
      <c r="AT75" s="3188"/>
    </row>
    <row r="76" spans="1:46" ht="26.1" customHeight="1">
      <c r="A76" s="3185">
        <v>310</v>
      </c>
      <c r="B76" s="3185" t="s">
        <v>3488</v>
      </c>
      <c r="C76" s="3185" t="s">
        <v>3489</v>
      </c>
      <c r="D76" s="3185" t="s">
        <v>3490</v>
      </c>
      <c r="E76" s="3185" t="s">
        <v>3776</v>
      </c>
      <c r="F76" s="3185" t="s">
        <v>3492</v>
      </c>
      <c r="G76" s="3185" t="s">
        <v>3523</v>
      </c>
      <c r="H76" s="3185" t="s">
        <v>3509</v>
      </c>
      <c r="I76" s="3185" t="s">
        <v>3777</v>
      </c>
      <c r="J76" s="3185" t="s">
        <v>3389</v>
      </c>
      <c r="K76" s="3185" t="s">
        <v>3496</v>
      </c>
      <c r="L76" s="3186">
        <v>114.36</v>
      </c>
      <c r="M76" s="3186">
        <v>92.93</v>
      </c>
      <c r="N76" s="3191">
        <v>114.36</v>
      </c>
      <c r="O76" s="3186">
        <v>92.93</v>
      </c>
      <c r="P76" s="3186">
        <v>4600</v>
      </c>
      <c r="Q76" s="3186">
        <v>5660.78</v>
      </c>
      <c r="R76" s="3186">
        <v>526056</v>
      </c>
      <c r="S76" s="3186">
        <v>4600</v>
      </c>
      <c r="T76" s="3186">
        <v>5660.7768999999998</v>
      </c>
      <c r="U76" s="3186">
        <v>526056</v>
      </c>
      <c r="V76" s="3186"/>
      <c r="W76" s="3186"/>
      <c r="X76" s="3186"/>
      <c r="Y76" s="3186"/>
      <c r="Z76" s="3186">
        <v>0</v>
      </c>
      <c r="AA76" s="3186"/>
      <c r="AB76" s="3186">
        <v>0</v>
      </c>
      <c r="AC76" s="3187">
        <v>44006</v>
      </c>
      <c r="AD76" s="3187">
        <v>45264.773614039397</v>
      </c>
      <c r="AE76" s="3187">
        <v>44090.403246412003</v>
      </c>
      <c r="AF76" s="3187"/>
      <c r="AG76" s="3187"/>
      <c r="AH76" s="3187"/>
      <c r="AI76" s="3187"/>
      <c r="AJ76" s="3187"/>
      <c r="AK76" s="3188">
        <v>44834</v>
      </c>
      <c r="AL76" s="3187">
        <v>44006</v>
      </c>
      <c r="AM76" s="3188"/>
      <c r="AN76" s="3188"/>
      <c r="AO76" s="3188"/>
      <c r="AP76" s="3188"/>
      <c r="AQ76" s="3188"/>
      <c r="AR76" s="3188"/>
      <c r="AS76" s="3188"/>
      <c r="AT76" s="3188"/>
    </row>
    <row r="77" spans="1:46" ht="26.1" customHeight="1">
      <c r="A77" s="3185">
        <v>311</v>
      </c>
      <c r="B77" s="3185" t="s">
        <v>3488</v>
      </c>
      <c r="C77" s="3185" t="s">
        <v>3489</v>
      </c>
      <c r="D77" s="3185" t="s">
        <v>3490</v>
      </c>
      <c r="E77" s="3185" t="s">
        <v>3776</v>
      </c>
      <c r="F77" s="3185" t="s">
        <v>3492</v>
      </c>
      <c r="G77" s="3185" t="s">
        <v>3525</v>
      </c>
      <c r="H77" s="3185" t="s">
        <v>3509</v>
      </c>
      <c r="I77" s="3185" t="s">
        <v>3777</v>
      </c>
      <c r="J77" s="3185" t="s">
        <v>3389</v>
      </c>
      <c r="K77" s="3185" t="s">
        <v>3496</v>
      </c>
      <c r="L77" s="3186">
        <v>114.36</v>
      </c>
      <c r="M77" s="3186">
        <v>92.93</v>
      </c>
      <c r="N77" s="3191">
        <v>114.36</v>
      </c>
      <c r="O77" s="3186">
        <v>92.93</v>
      </c>
      <c r="P77" s="3186">
        <v>4550</v>
      </c>
      <c r="Q77" s="3186">
        <v>5599.25</v>
      </c>
      <c r="R77" s="3186">
        <v>520338</v>
      </c>
      <c r="S77" s="3186">
        <v>4550</v>
      </c>
      <c r="T77" s="3186">
        <v>5599.2466999999997</v>
      </c>
      <c r="U77" s="3186">
        <v>520338</v>
      </c>
      <c r="V77" s="3186"/>
      <c r="W77" s="3186"/>
      <c r="X77" s="3186"/>
      <c r="Y77" s="3186"/>
      <c r="Z77" s="3186">
        <v>0</v>
      </c>
      <c r="AA77" s="3186"/>
      <c r="AB77" s="3186">
        <v>0</v>
      </c>
      <c r="AC77" s="3187">
        <v>44006</v>
      </c>
      <c r="AD77" s="3187">
        <v>45264.773614039397</v>
      </c>
      <c r="AE77" s="3187">
        <v>44090.403246412003</v>
      </c>
      <c r="AF77" s="3187"/>
      <c r="AG77" s="3187"/>
      <c r="AH77" s="3187"/>
      <c r="AI77" s="3187"/>
      <c r="AJ77" s="3187"/>
      <c r="AK77" s="3188">
        <v>44834</v>
      </c>
      <c r="AL77" s="3187">
        <v>44006</v>
      </c>
      <c r="AM77" s="3188"/>
      <c r="AN77" s="3188"/>
      <c r="AO77" s="3188"/>
      <c r="AP77" s="3188"/>
      <c r="AQ77" s="3188"/>
      <c r="AR77" s="3188"/>
      <c r="AS77" s="3188"/>
      <c r="AT77" s="3188"/>
    </row>
    <row r="78" spans="1:46" ht="26.1" customHeight="1">
      <c r="A78" s="3185">
        <v>312</v>
      </c>
      <c r="B78" s="3185" t="s">
        <v>3488</v>
      </c>
      <c r="C78" s="3185" t="s">
        <v>3489</v>
      </c>
      <c r="D78" s="3185" t="s">
        <v>3490</v>
      </c>
      <c r="E78" s="3185" t="s">
        <v>3776</v>
      </c>
      <c r="F78" s="3185" t="s">
        <v>3492</v>
      </c>
      <c r="G78" s="3185" t="s">
        <v>3528</v>
      </c>
      <c r="H78" s="3185" t="s">
        <v>3509</v>
      </c>
      <c r="I78" s="3185" t="s">
        <v>3777</v>
      </c>
      <c r="J78" s="3185" t="s">
        <v>3389</v>
      </c>
      <c r="K78" s="3185" t="s">
        <v>3496</v>
      </c>
      <c r="L78" s="3186">
        <v>114.36</v>
      </c>
      <c r="M78" s="3186">
        <v>92.93</v>
      </c>
      <c r="N78" s="3191">
        <v>114.36</v>
      </c>
      <c r="O78" s="3186">
        <v>92.93</v>
      </c>
      <c r="P78" s="3186">
        <v>4550</v>
      </c>
      <c r="Q78" s="3186">
        <v>5599.25</v>
      </c>
      <c r="R78" s="3186">
        <v>520338</v>
      </c>
      <c r="S78" s="3186">
        <v>4550</v>
      </c>
      <c r="T78" s="3186">
        <v>5599.2466999999997</v>
      </c>
      <c r="U78" s="3186">
        <v>520338</v>
      </c>
      <c r="V78" s="3186"/>
      <c r="W78" s="3186"/>
      <c r="X78" s="3186"/>
      <c r="Y78" s="3186"/>
      <c r="Z78" s="3186">
        <v>0</v>
      </c>
      <c r="AA78" s="3186"/>
      <c r="AB78" s="3186">
        <v>0</v>
      </c>
      <c r="AC78" s="3187">
        <v>44006</v>
      </c>
      <c r="AD78" s="3187">
        <v>45264.773614039397</v>
      </c>
      <c r="AE78" s="3187">
        <v>44090.403246412003</v>
      </c>
      <c r="AF78" s="3187"/>
      <c r="AG78" s="3187"/>
      <c r="AH78" s="3187"/>
      <c r="AI78" s="3187"/>
      <c r="AJ78" s="3187"/>
      <c r="AK78" s="3188">
        <v>44834</v>
      </c>
      <c r="AL78" s="3187">
        <v>44006</v>
      </c>
      <c r="AM78" s="3188"/>
      <c r="AN78" s="3188"/>
      <c r="AO78" s="3188"/>
      <c r="AP78" s="3188"/>
      <c r="AQ78" s="3188"/>
      <c r="AR78" s="3188"/>
      <c r="AS78" s="3188"/>
      <c r="AT78" s="3188"/>
    </row>
    <row r="79" spans="1:46" ht="26.1" customHeight="1">
      <c r="A79" s="3185">
        <v>313</v>
      </c>
      <c r="B79" s="3185" t="s">
        <v>3488</v>
      </c>
      <c r="C79" s="3185" t="s">
        <v>3489</v>
      </c>
      <c r="D79" s="3185" t="s">
        <v>3490</v>
      </c>
      <c r="E79" s="3185" t="s">
        <v>3776</v>
      </c>
      <c r="F79" s="3185" t="s">
        <v>3492</v>
      </c>
      <c r="G79" s="3185" t="s">
        <v>3529</v>
      </c>
      <c r="H79" s="3185" t="s">
        <v>3509</v>
      </c>
      <c r="I79" s="3185" t="s">
        <v>3777</v>
      </c>
      <c r="J79" s="3185" t="s">
        <v>3389</v>
      </c>
      <c r="K79" s="3185" t="s">
        <v>3496</v>
      </c>
      <c r="L79" s="3186">
        <v>114.36</v>
      </c>
      <c r="M79" s="3186">
        <v>92.93</v>
      </c>
      <c r="N79" s="3191">
        <v>114.36</v>
      </c>
      <c r="O79" s="3186">
        <v>92.93</v>
      </c>
      <c r="P79" s="3186">
        <v>4600</v>
      </c>
      <c r="Q79" s="3186">
        <v>5660.78</v>
      </c>
      <c r="R79" s="3186">
        <v>526056</v>
      </c>
      <c r="S79" s="3186">
        <v>4600</v>
      </c>
      <c r="T79" s="3186">
        <v>5660.7768999999998</v>
      </c>
      <c r="U79" s="3186">
        <v>526056</v>
      </c>
      <c r="V79" s="3186"/>
      <c r="W79" s="3186"/>
      <c r="X79" s="3186"/>
      <c r="Y79" s="3186"/>
      <c r="Z79" s="3186">
        <v>0</v>
      </c>
      <c r="AA79" s="3186"/>
      <c r="AB79" s="3186">
        <v>0</v>
      </c>
      <c r="AC79" s="3187">
        <v>44006</v>
      </c>
      <c r="AD79" s="3187">
        <v>45264.773614039397</v>
      </c>
      <c r="AE79" s="3187">
        <v>44090.403246412003</v>
      </c>
      <c r="AF79" s="3187"/>
      <c r="AG79" s="3187"/>
      <c r="AH79" s="3187"/>
      <c r="AI79" s="3187"/>
      <c r="AJ79" s="3187"/>
      <c r="AK79" s="3188">
        <v>44834</v>
      </c>
      <c r="AL79" s="3187">
        <v>44006</v>
      </c>
      <c r="AM79" s="3188"/>
      <c r="AN79" s="3188"/>
      <c r="AO79" s="3188"/>
      <c r="AP79" s="3188"/>
      <c r="AQ79" s="3188"/>
      <c r="AR79" s="3188"/>
      <c r="AS79" s="3188"/>
      <c r="AT79" s="3188"/>
    </row>
    <row r="80" spans="1:46" ht="26.1" customHeight="1">
      <c r="A80" s="3185">
        <v>314</v>
      </c>
      <c r="B80" s="3185" t="s">
        <v>3488</v>
      </c>
      <c r="C80" s="3185" t="s">
        <v>3489</v>
      </c>
      <c r="D80" s="3185" t="s">
        <v>3490</v>
      </c>
      <c r="E80" s="3185" t="s">
        <v>3776</v>
      </c>
      <c r="F80" s="3185" t="s">
        <v>3492</v>
      </c>
      <c r="G80" s="3185" t="s">
        <v>3530</v>
      </c>
      <c r="H80" s="3185" t="s">
        <v>3509</v>
      </c>
      <c r="I80" s="3185" t="s">
        <v>3777</v>
      </c>
      <c r="J80" s="3185" t="s">
        <v>3389</v>
      </c>
      <c r="K80" s="3185" t="s">
        <v>3496</v>
      </c>
      <c r="L80" s="3186">
        <v>114.36</v>
      </c>
      <c r="M80" s="3186">
        <v>92.93</v>
      </c>
      <c r="N80" s="3191">
        <v>114.36</v>
      </c>
      <c r="O80" s="3186">
        <v>92.93</v>
      </c>
      <c r="P80" s="3186">
        <v>4600</v>
      </c>
      <c r="Q80" s="3186">
        <v>5660.78</v>
      </c>
      <c r="R80" s="3186">
        <v>526056</v>
      </c>
      <c r="S80" s="3186">
        <v>4600</v>
      </c>
      <c r="T80" s="3186">
        <v>5660.7768999999998</v>
      </c>
      <c r="U80" s="3186">
        <v>526056</v>
      </c>
      <c r="V80" s="3186"/>
      <c r="W80" s="3186"/>
      <c r="X80" s="3186"/>
      <c r="Y80" s="3186"/>
      <c r="Z80" s="3186">
        <v>0</v>
      </c>
      <c r="AA80" s="3186"/>
      <c r="AB80" s="3186">
        <v>0</v>
      </c>
      <c r="AC80" s="3187">
        <v>44006</v>
      </c>
      <c r="AD80" s="3187">
        <v>45264.773614039397</v>
      </c>
      <c r="AE80" s="3187">
        <v>44090.403246412003</v>
      </c>
      <c r="AF80" s="3187"/>
      <c r="AG80" s="3187"/>
      <c r="AH80" s="3187"/>
      <c r="AI80" s="3187"/>
      <c r="AJ80" s="3187"/>
      <c r="AK80" s="3188">
        <v>44834</v>
      </c>
      <c r="AL80" s="3187">
        <v>44006</v>
      </c>
      <c r="AM80" s="3188"/>
      <c r="AN80" s="3188"/>
      <c r="AO80" s="3188"/>
      <c r="AP80" s="3188"/>
      <c r="AQ80" s="3188"/>
      <c r="AR80" s="3188"/>
      <c r="AS80" s="3188"/>
      <c r="AT80" s="3188"/>
    </row>
    <row r="81" spans="1:46" ht="26.1" customHeight="1">
      <c r="A81" s="3185">
        <v>315</v>
      </c>
      <c r="B81" s="3185" t="s">
        <v>3488</v>
      </c>
      <c r="C81" s="3185" t="s">
        <v>3489</v>
      </c>
      <c r="D81" s="3185" t="s">
        <v>3490</v>
      </c>
      <c r="E81" s="3185" t="s">
        <v>3776</v>
      </c>
      <c r="F81" s="3185" t="s">
        <v>3492</v>
      </c>
      <c r="G81" s="3185" t="s">
        <v>3532</v>
      </c>
      <c r="H81" s="3185" t="s">
        <v>3509</v>
      </c>
      <c r="I81" s="3185" t="s">
        <v>3777</v>
      </c>
      <c r="J81" s="3185" t="s">
        <v>3389</v>
      </c>
      <c r="K81" s="3185" t="s">
        <v>3496</v>
      </c>
      <c r="L81" s="3186">
        <v>155.72999999999999</v>
      </c>
      <c r="M81" s="3186">
        <v>126.55</v>
      </c>
      <c r="N81" s="3191">
        <v>155.72999999999999</v>
      </c>
      <c r="O81" s="3186">
        <v>126.55</v>
      </c>
      <c r="P81" s="3186">
        <v>4600</v>
      </c>
      <c r="Q81" s="3186">
        <v>5660.67</v>
      </c>
      <c r="R81" s="3186">
        <v>716358</v>
      </c>
      <c r="S81" s="3186">
        <v>4600</v>
      </c>
      <c r="T81" s="3186">
        <v>5660.6716999999999</v>
      </c>
      <c r="U81" s="3186">
        <v>716358</v>
      </c>
      <c r="V81" s="3186"/>
      <c r="W81" s="3186"/>
      <c r="X81" s="3186"/>
      <c r="Y81" s="3186"/>
      <c r="Z81" s="3186">
        <v>0</v>
      </c>
      <c r="AA81" s="3186"/>
      <c r="AB81" s="3186">
        <v>0</v>
      </c>
      <c r="AC81" s="3187">
        <v>44006</v>
      </c>
      <c r="AD81" s="3187">
        <v>45264.773614039397</v>
      </c>
      <c r="AE81" s="3187">
        <v>44090.403246412003</v>
      </c>
      <c r="AF81" s="3187"/>
      <c r="AG81" s="3187"/>
      <c r="AH81" s="3187"/>
      <c r="AI81" s="3187"/>
      <c r="AJ81" s="3187"/>
      <c r="AK81" s="3188">
        <v>44834</v>
      </c>
      <c r="AL81" s="3187">
        <v>44006</v>
      </c>
      <c r="AM81" s="3188"/>
      <c r="AN81" s="3188"/>
      <c r="AO81" s="3188"/>
      <c r="AP81" s="3188"/>
      <c r="AQ81" s="3188"/>
      <c r="AR81" s="3188"/>
      <c r="AS81" s="3188"/>
      <c r="AT81" s="3188"/>
    </row>
    <row r="82" spans="1:46" ht="26.1" customHeight="1">
      <c r="A82" s="3185">
        <v>316</v>
      </c>
      <c r="B82" s="3185" t="s">
        <v>3488</v>
      </c>
      <c r="C82" s="3185" t="s">
        <v>3489</v>
      </c>
      <c r="D82" s="3185" t="s">
        <v>3490</v>
      </c>
      <c r="E82" s="3185" t="s">
        <v>3776</v>
      </c>
      <c r="F82" s="3185" t="s">
        <v>3492</v>
      </c>
      <c r="G82" s="3185" t="s">
        <v>3534</v>
      </c>
      <c r="H82" s="3185" t="s">
        <v>3509</v>
      </c>
      <c r="I82" s="3185" t="s">
        <v>3777</v>
      </c>
      <c r="J82" s="3185" t="s">
        <v>3389</v>
      </c>
      <c r="K82" s="3185" t="s">
        <v>3496</v>
      </c>
      <c r="L82" s="3186">
        <v>151.86000000000001</v>
      </c>
      <c r="M82" s="3186">
        <v>123.4</v>
      </c>
      <c r="N82" s="3191">
        <v>151.86000000000001</v>
      </c>
      <c r="O82" s="3186">
        <v>123.4</v>
      </c>
      <c r="P82" s="3186">
        <v>4600</v>
      </c>
      <c r="Q82" s="3186">
        <v>5660.91</v>
      </c>
      <c r="R82" s="3186">
        <v>698556</v>
      </c>
      <c r="S82" s="3186">
        <v>4600</v>
      </c>
      <c r="T82" s="3186">
        <v>5660.9075999999995</v>
      </c>
      <c r="U82" s="3186">
        <v>698556</v>
      </c>
      <c r="V82" s="3186"/>
      <c r="W82" s="3186"/>
      <c r="X82" s="3186"/>
      <c r="Y82" s="3186"/>
      <c r="Z82" s="3186">
        <v>0</v>
      </c>
      <c r="AA82" s="3186"/>
      <c r="AB82" s="3186">
        <v>0</v>
      </c>
      <c r="AC82" s="3187">
        <v>44006</v>
      </c>
      <c r="AD82" s="3187">
        <v>45264.773614039397</v>
      </c>
      <c r="AE82" s="3187">
        <v>44090.403246412003</v>
      </c>
      <c r="AF82" s="3188"/>
      <c r="AG82" s="3187"/>
      <c r="AH82" s="3187"/>
      <c r="AI82" s="3187"/>
      <c r="AJ82" s="3187"/>
      <c r="AK82" s="3188">
        <v>44834</v>
      </c>
      <c r="AL82" s="3187">
        <v>44006</v>
      </c>
      <c r="AM82" s="3188"/>
      <c r="AN82" s="3188"/>
      <c r="AO82" s="3188"/>
      <c r="AP82" s="3188"/>
      <c r="AQ82" s="3188"/>
      <c r="AR82" s="3188"/>
      <c r="AS82" s="3188"/>
      <c r="AT82" s="3188"/>
    </row>
    <row r="83" spans="1:46" ht="26.1" customHeight="1">
      <c r="A83" s="3185">
        <v>319</v>
      </c>
      <c r="B83" s="3185" t="s">
        <v>3488</v>
      </c>
      <c r="C83" s="3185" t="s">
        <v>3489</v>
      </c>
      <c r="D83" s="3185" t="s">
        <v>3490</v>
      </c>
      <c r="E83" s="3185" t="s">
        <v>3776</v>
      </c>
      <c r="F83" s="3185" t="s">
        <v>3538</v>
      </c>
      <c r="G83" s="3185" t="s">
        <v>3508</v>
      </c>
      <c r="H83" s="3185" t="s">
        <v>3509</v>
      </c>
      <c r="I83" s="3185" t="s">
        <v>3777</v>
      </c>
      <c r="J83" s="3185" t="s">
        <v>3389</v>
      </c>
      <c r="K83" s="3185" t="s">
        <v>3496</v>
      </c>
      <c r="L83" s="3186">
        <v>114.36</v>
      </c>
      <c r="M83" s="3186">
        <v>92.93</v>
      </c>
      <c r="N83" s="3191">
        <v>114.36</v>
      </c>
      <c r="O83" s="3186">
        <v>92.93</v>
      </c>
      <c r="P83" s="3186">
        <v>4300</v>
      </c>
      <c r="Q83" s="3186">
        <v>5291.6</v>
      </c>
      <c r="R83" s="3186">
        <v>491748</v>
      </c>
      <c r="S83" s="3186">
        <v>4300</v>
      </c>
      <c r="T83" s="3186">
        <v>5291.5958000000001</v>
      </c>
      <c r="U83" s="3186">
        <v>491748</v>
      </c>
      <c r="V83" s="3186"/>
      <c r="W83" s="3186"/>
      <c r="X83" s="3186"/>
      <c r="Y83" s="3186"/>
      <c r="Z83" s="3186">
        <v>0</v>
      </c>
      <c r="AA83" s="3186"/>
      <c r="AB83" s="3186">
        <v>0</v>
      </c>
      <c r="AC83" s="3187">
        <v>44006</v>
      </c>
      <c r="AD83" s="3187">
        <v>45264.773614039397</v>
      </c>
      <c r="AE83" s="3187">
        <v>44090.403246412003</v>
      </c>
      <c r="AF83" s="3187"/>
      <c r="AG83" s="3187"/>
      <c r="AH83" s="3187"/>
      <c r="AI83" s="3187"/>
      <c r="AJ83" s="3187"/>
      <c r="AK83" s="3188">
        <v>44834</v>
      </c>
      <c r="AL83" s="3187">
        <v>44006</v>
      </c>
      <c r="AM83" s="3188"/>
      <c r="AN83" s="3188"/>
      <c r="AO83" s="3188"/>
      <c r="AP83" s="3188"/>
      <c r="AQ83" s="3188"/>
      <c r="AR83" s="3188"/>
      <c r="AS83" s="3188"/>
      <c r="AT83" s="3188"/>
    </row>
    <row r="84" spans="1:46" ht="26.1" customHeight="1">
      <c r="A84" s="3185">
        <v>320</v>
      </c>
      <c r="B84" s="3185" t="s">
        <v>3488</v>
      </c>
      <c r="C84" s="3185" t="s">
        <v>3489</v>
      </c>
      <c r="D84" s="3185" t="s">
        <v>3490</v>
      </c>
      <c r="E84" s="3185" t="s">
        <v>3776</v>
      </c>
      <c r="F84" s="3185" t="s">
        <v>3538</v>
      </c>
      <c r="G84" s="3185" t="s">
        <v>3510</v>
      </c>
      <c r="H84" s="3185" t="s">
        <v>3509</v>
      </c>
      <c r="I84" s="3185" t="s">
        <v>3777</v>
      </c>
      <c r="J84" s="3185" t="s">
        <v>3389</v>
      </c>
      <c r="K84" s="3185" t="s">
        <v>3496</v>
      </c>
      <c r="L84" s="3186">
        <v>114.36</v>
      </c>
      <c r="M84" s="3186">
        <v>92.93</v>
      </c>
      <c r="N84" s="3191">
        <v>114.36</v>
      </c>
      <c r="O84" s="3186">
        <v>92.93</v>
      </c>
      <c r="P84" s="3186">
        <v>4300</v>
      </c>
      <c r="Q84" s="3186">
        <v>5291.6</v>
      </c>
      <c r="R84" s="3186">
        <v>491748</v>
      </c>
      <c r="S84" s="3186">
        <v>4300</v>
      </c>
      <c r="T84" s="3186">
        <v>5291.5958000000001</v>
      </c>
      <c r="U84" s="3186">
        <v>491748</v>
      </c>
      <c r="V84" s="3186"/>
      <c r="W84" s="3186"/>
      <c r="X84" s="3186"/>
      <c r="Y84" s="3186"/>
      <c r="Z84" s="3186">
        <v>0</v>
      </c>
      <c r="AA84" s="3186"/>
      <c r="AB84" s="3186">
        <v>0</v>
      </c>
      <c r="AC84" s="3187">
        <v>44006</v>
      </c>
      <c r="AD84" s="3187">
        <v>45264.773614039397</v>
      </c>
      <c r="AE84" s="3187">
        <v>44090.403246412003</v>
      </c>
      <c r="AF84" s="3187"/>
      <c r="AG84" s="3187"/>
      <c r="AH84" s="3187"/>
      <c r="AI84" s="3187"/>
      <c r="AJ84" s="3187"/>
      <c r="AK84" s="3188"/>
      <c r="AL84" s="3187">
        <v>44006</v>
      </c>
      <c r="AM84" s="3188"/>
      <c r="AN84" s="3188"/>
      <c r="AO84" s="3188"/>
      <c r="AP84" s="3188"/>
      <c r="AQ84" s="3188"/>
      <c r="AR84" s="3188"/>
      <c r="AS84" s="3188"/>
      <c r="AT84" s="3188"/>
    </row>
    <row r="85" spans="1:46" ht="26.1" customHeight="1">
      <c r="A85" s="3185">
        <v>321</v>
      </c>
      <c r="B85" s="3185" t="s">
        <v>3488</v>
      </c>
      <c r="C85" s="3185" t="s">
        <v>3489</v>
      </c>
      <c r="D85" s="3185" t="s">
        <v>3490</v>
      </c>
      <c r="E85" s="3185" t="s">
        <v>3776</v>
      </c>
      <c r="F85" s="3185" t="s">
        <v>3538</v>
      </c>
      <c r="G85" s="3185" t="s">
        <v>3511</v>
      </c>
      <c r="H85" s="3185" t="s">
        <v>3509</v>
      </c>
      <c r="I85" s="3185" t="s">
        <v>3777</v>
      </c>
      <c r="J85" s="3185" t="s">
        <v>3389</v>
      </c>
      <c r="K85" s="3185" t="s">
        <v>3496</v>
      </c>
      <c r="L85" s="3186">
        <v>114.36</v>
      </c>
      <c r="M85" s="3186">
        <v>92.93</v>
      </c>
      <c r="N85" s="3191">
        <v>114.36</v>
      </c>
      <c r="O85" s="3186">
        <v>92.93</v>
      </c>
      <c r="P85" s="3186">
        <v>4350</v>
      </c>
      <c r="Q85" s="3186">
        <v>5353.13</v>
      </c>
      <c r="R85" s="3186">
        <v>497466</v>
      </c>
      <c r="S85" s="3186">
        <v>4350</v>
      </c>
      <c r="T85" s="3186">
        <v>5353.1260000000002</v>
      </c>
      <c r="U85" s="3186">
        <v>497466</v>
      </c>
      <c r="V85" s="3186"/>
      <c r="W85" s="3186"/>
      <c r="X85" s="3186"/>
      <c r="Y85" s="3186"/>
      <c r="Z85" s="3186">
        <v>0</v>
      </c>
      <c r="AA85" s="3186"/>
      <c r="AB85" s="3186">
        <v>0</v>
      </c>
      <c r="AC85" s="3187">
        <v>44006</v>
      </c>
      <c r="AD85" s="3187">
        <v>45264.773614039397</v>
      </c>
      <c r="AE85" s="3187">
        <v>44090.403246412003</v>
      </c>
      <c r="AF85" s="3187"/>
      <c r="AG85" s="3187"/>
      <c r="AH85" s="3188"/>
      <c r="AI85" s="3188"/>
      <c r="AJ85" s="3187"/>
      <c r="AK85" s="3188">
        <v>44834</v>
      </c>
      <c r="AL85" s="3187">
        <v>44006</v>
      </c>
      <c r="AM85" s="3188"/>
      <c r="AN85" s="3188"/>
      <c r="AO85" s="3188"/>
      <c r="AP85" s="3188"/>
      <c r="AQ85" s="3188"/>
      <c r="AR85" s="3188"/>
      <c r="AS85" s="3188"/>
      <c r="AT85" s="3188"/>
    </row>
    <row r="86" spans="1:46" ht="26.1" customHeight="1">
      <c r="A86" s="3185">
        <v>322</v>
      </c>
      <c r="B86" s="3185" t="s">
        <v>3488</v>
      </c>
      <c r="C86" s="3185" t="s">
        <v>3489</v>
      </c>
      <c r="D86" s="3185" t="s">
        <v>3490</v>
      </c>
      <c r="E86" s="3185" t="s">
        <v>3776</v>
      </c>
      <c r="F86" s="3185" t="s">
        <v>3538</v>
      </c>
      <c r="G86" s="3185" t="s">
        <v>3512</v>
      </c>
      <c r="H86" s="3185" t="s">
        <v>3509</v>
      </c>
      <c r="I86" s="3185" t="s">
        <v>3777</v>
      </c>
      <c r="J86" s="3185" t="s">
        <v>3389</v>
      </c>
      <c r="K86" s="3185" t="s">
        <v>3496</v>
      </c>
      <c r="L86" s="3186">
        <v>114.36</v>
      </c>
      <c r="M86" s="3186">
        <v>92.93</v>
      </c>
      <c r="N86" s="3191">
        <v>114.36</v>
      </c>
      <c r="O86" s="3186">
        <v>92.93</v>
      </c>
      <c r="P86" s="3186">
        <v>4350</v>
      </c>
      <c r="Q86" s="3186">
        <v>5353.13</v>
      </c>
      <c r="R86" s="3186">
        <v>497466</v>
      </c>
      <c r="S86" s="3186">
        <v>4350</v>
      </c>
      <c r="T86" s="3186">
        <v>5353.1260000000002</v>
      </c>
      <c r="U86" s="3186">
        <v>497466</v>
      </c>
      <c r="V86" s="3186"/>
      <c r="W86" s="3186"/>
      <c r="X86" s="3186"/>
      <c r="Y86" s="3186"/>
      <c r="Z86" s="3186">
        <v>0</v>
      </c>
      <c r="AA86" s="3186"/>
      <c r="AB86" s="3186">
        <v>0</v>
      </c>
      <c r="AC86" s="3187">
        <v>44006</v>
      </c>
      <c r="AD86" s="3187">
        <v>45264.773614039397</v>
      </c>
      <c r="AE86" s="3187">
        <v>44090.403246412003</v>
      </c>
      <c r="AF86" s="3187"/>
      <c r="AG86" s="3187"/>
      <c r="AH86" s="3188"/>
      <c r="AI86" s="3188"/>
      <c r="AJ86" s="3187"/>
      <c r="AK86" s="3188">
        <v>44834</v>
      </c>
      <c r="AL86" s="3187">
        <v>44006</v>
      </c>
      <c r="AM86" s="3188"/>
      <c r="AN86" s="3188"/>
      <c r="AO86" s="3188"/>
      <c r="AP86" s="3188"/>
      <c r="AQ86" s="3188"/>
      <c r="AR86" s="3188"/>
      <c r="AS86" s="3188"/>
      <c r="AT86" s="3188"/>
    </row>
    <row r="87" spans="1:46" ht="26.1" customHeight="1">
      <c r="A87" s="3185">
        <v>323</v>
      </c>
      <c r="B87" s="3185" t="s">
        <v>3488</v>
      </c>
      <c r="C87" s="3185" t="s">
        <v>3489</v>
      </c>
      <c r="D87" s="3185" t="s">
        <v>3490</v>
      </c>
      <c r="E87" s="3185" t="s">
        <v>3776</v>
      </c>
      <c r="F87" s="3185" t="s">
        <v>3538</v>
      </c>
      <c r="G87" s="3185" t="s">
        <v>3513</v>
      </c>
      <c r="H87" s="3185" t="s">
        <v>3509</v>
      </c>
      <c r="I87" s="3185" t="s">
        <v>3777</v>
      </c>
      <c r="J87" s="3185" t="s">
        <v>3389</v>
      </c>
      <c r="K87" s="3185" t="s">
        <v>3496</v>
      </c>
      <c r="L87" s="3186">
        <v>114.36</v>
      </c>
      <c r="M87" s="3186">
        <v>92.93</v>
      </c>
      <c r="N87" s="3191">
        <v>114.36</v>
      </c>
      <c r="O87" s="3186">
        <v>92.93</v>
      </c>
      <c r="P87" s="3186">
        <v>4400</v>
      </c>
      <c r="Q87" s="3186">
        <v>5414.66</v>
      </c>
      <c r="R87" s="3186">
        <v>503184</v>
      </c>
      <c r="S87" s="3186">
        <v>4400</v>
      </c>
      <c r="T87" s="3186">
        <v>5414.6562000000004</v>
      </c>
      <c r="U87" s="3186">
        <v>503184</v>
      </c>
      <c r="V87" s="3186"/>
      <c r="W87" s="3186"/>
      <c r="X87" s="3186"/>
      <c r="Y87" s="3186"/>
      <c r="Z87" s="3186">
        <v>0</v>
      </c>
      <c r="AA87" s="3186"/>
      <c r="AB87" s="3186">
        <v>0</v>
      </c>
      <c r="AC87" s="3187">
        <v>44006</v>
      </c>
      <c r="AD87" s="3187">
        <v>45264.773614039397</v>
      </c>
      <c r="AE87" s="3187">
        <v>44090.403246412003</v>
      </c>
      <c r="AF87" s="3187"/>
      <c r="AG87" s="3187"/>
      <c r="AH87" s="3188"/>
      <c r="AI87" s="3188"/>
      <c r="AJ87" s="3187"/>
      <c r="AK87" s="3188">
        <v>44834</v>
      </c>
      <c r="AL87" s="3187">
        <v>44006</v>
      </c>
      <c r="AM87" s="3188"/>
      <c r="AN87" s="3188"/>
      <c r="AO87" s="3188"/>
      <c r="AP87" s="3188"/>
      <c r="AQ87" s="3188"/>
      <c r="AR87" s="3188"/>
      <c r="AS87" s="3188"/>
      <c r="AT87" s="3188"/>
    </row>
    <row r="88" spans="1:46" ht="26.1" customHeight="1">
      <c r="A88" s="3185">
        <v>324</v>
      </c>
      <c r="B88" s="3185" t="s">
        <v>3488</v>
      </c>
      <c r="C88" s="3185" t="s">
        <v>3489</v>
      </c>
      <c r="D88" s="3185" t="s">
        <v>3490</v>
      </c>
      <c r="E88" s="3185" t="s">
        <v>3776</v>
      </c>
      <c r="F88" s="3185" t="s">
        <v>3538</v>
      </c>
      <c r="G88" s="3185" t="s">
        <v>3514</v>
      </c>
      <c r="H88" s="3185" t="s">
        <v>3509</v>
      </c>
      <c r="I88" s="3185" t="s">
        <v>3777</v>
      </c>
      <c r="J88" s="3185" t="s">
        <v>3389</v>
      </c>
      <c r="K88" s="3185" t="s">
        <v>3496</v>
      </c>
      <c r="L88" s="3186">
        <v>114.36</v>
      </c>
      <c r="M88" s="3186">
        <v>92.93</v>
      </c>
      <c r="N88" s="3191">
        <v>114.36</v>
      </c>
      <c r="O88" s="3186">
        <v>92.93</v>
      </c>
      <c r="P88" s="3186">
        <v>4400</v>
      </c>
      <c r="Q88" s="3186">
        <v>5414.66</v>
      </c>
      <c r="R88" s="3186">
        <v>503184</v>
      </c>
      <c r="S88" s="3186">
        <v>4400</v>
      </c>
      <c r="T88" s="3186">
        <v>5414.6562000000004</v>
      </c>
      <c r="U88" s="3186">
        <v>503184</v>
      </c>
      <c r="V88" s="3186"/>
      <c r="W88" s="3186"/>
      <c r="X88" s="3186"/>
      <c r="Y88" s="3186"/>
      <c r="Z88" s="3186">
        <v>0</v>
      </c>
      <c r="AA88" s="3186"/>
      <c r="AB88" s="3186">
        <v>0</v>
      </c>
      <c r="AC88" s="3187">
        <v>44006</v>
      </c>
      <c r="AD88" s="3187">
        <v>45264.773614039397</v>
      </c>
      <c r="AE88" s="3187">
        <v>44090.403246412003</v>
      </c>
      <c r="AF88" s="3187"/>
      <c r="AG88" s="3187"/>
      <c r="AH88" s="3187"/>
      <c r="AI88" s="3187"/>
      <c r="AJ88" s="3187"/>
      <c r="AK88" s="3188">
        <v>44834</v>
      </c>
      <c r="AL88" s="3187">
        <v>44006</v>
      </c>
      <c r="AM88" s="3188"/>
      <c r="AN88" s="3188"/>
      <c r="AO88" s="3188"/>
      <c r="AP88" s="3188"/>
      <c r="AQ88" s="3188"/>
      <c r="AR88" s="3188"/>
      <c r="AS88" s="3188"/>
      <c r="AT88" s="3188"/>
    </row>
    <row r="89" spans="1:46" ht="26.1" customHeight="1">
      <c r="A89" s="3185">
        <v>325</v>
      </c>
      <c r="B89" s="3185" t="s">
        <v>3488</v>
      </c>
      <c r="C89" s="3185" t="s">
        <v>3489</v>
      </c>
      <c r="D89" s="3185" t="s">
        <v>3490</v>
      </c>
      <c r="E89" s="3185" t="s">
        <v>3776</v>
      </c>
      <c r="F89" s="3185" t="s">
        <v>3538</v>
      </c>
      <c r="G89" s="3185" t="s">
        <v>3515</v>
      </c>
      <c r="H89" s="3185" t="s">
        <v>3509</v>
      </c>
      <c r="I89" s="3185" t="s">
        <v>3777</v>
      </c>
      <c r="J89" s="3185" t="s">
        <v>3389</v>
      </c>
      <c r="K89" s="3185" t="s">
        <v>3496</v>
      </c>
      <c r="L89" s="3186">
        <v>114.36</v>
      </c>
      <c r="M89" s="3186">
        <v>92.93</v>
      </c>
      <c r="N89" s="3191">
        <v>114.36</v>
      </c>
      <c r="O89" s="3186">
        <v>92.93</v>
      </c>
      <c r="P89" s="3186">
        <v>4600</v>
      </c>
      <c r="Q89" s="3186">
        <v>5660.78</v>
      </c>
      <c r="R89" s="3186">
        <v>526056</v>
      </c>
      <c r="S89" s="3186">
        <v>4600</v>
      </c>
      <c r="T89" s="3186">
        <v>5660.7768999999998</v>
      </c>
      <c r="U89" s="3186">
        <v>526056</v>
      </c>
      <c r="V89" s="3186"/>
      <c r="W89" s="3186"/>
      <c r="X89" s="3186"/>
      <c r="Y89" s="3186"/>
      <c r="Z89" s="3186">
        <v>0</v>
      </c>
      <c r="AA89" s="3186"/>
      <c r="AB89" s="3186">
        <v>0</v>
      </c>
      <c r="AC89" s="3187">
        <v>44006</v>
      </c>
      <c r="AD89" s="3187">
        <v>45264.773614039397</v>
      </c>
      <c r="AE89" s="3187">
        <v>44090.403246412003</v>
      </c>
      <c r="AF89" s="3187"/>
      <c r="AG89" s="3187"/>
      <c r="AH89" s="3188"/>
      <c r="AI89" s="3188"/>
      <c r="AJ89" s="3187"/>
      <c r="AK89" s="3188"/>
      <c r="AL89" s="3187">
        <v>44006</v>
      </c>
      <c r="AM89" s="3188"/>
      <c r="AN89" s="3188"/>
      <c r="AO89" s="3188"/>
      <c r="AP89" s="3188"/>
      <c r="AQ89" s="3188"/>
      <c r="AR89" s="3188"/>
      <c r="AS89" s="3188"/>
      <c r="AT89" s="3188"/>
    </row>
    <row r="90" spans="1:46" ht="26.1" customHeight="1">
      <c r="A90" s="3185">
        <v>326</v>
      </c>
      <c r="B90" s="3185" t="s">
        <v>3488</v>
      </c>
      <c r="C90" s="3185" t="s">
        <v>3489</v>
      </c>
      <c r="D90" s="3185" t="s">
        <v>3490</v>
      </c>
      <c r="E90" s="3185" t="s">
        <v>3776</v>
      </c>
      <c r="F90" s="3185" t="s">
        <v>3538</v>
      </c>
      <c r="G90" s="3185" t="s">
        <v>3521</v>
      </c>
      <c r="H90" s="3185" t="s">
        <v>3509</v>
      </c>
      <c r="I90" s="3185" t="s">
        <v>3777</v>
      </c>
      <c r="J90" s="3185" t="s">
        <v>3389</v>
      </c>
      <c r="K90" s="3185" t="s">
        <v>3496</v>
      </c>
      <c r="L90" s="3186">
        <v>114.36</v>
      </c>
      <c r="M90" s="3186">
        <v>92.93</v>
      </c>
      <c r="N90" s="3191">
        <v>114.36</v>
      </c>
      <c r="O90" s="3186">
        <v>92.93</v>
      </c>
      <c r="P90" s="3186">
        <v>4600</v>
      </c>
      <c r="Q90" s="3186">
        <v>5660.78</v>
      </c>
      <c r="R90" s="3186">
        <v>526056</v>
      </c>
      <c r="S90" s="3186">
        <v>4600</v>
      </c>
      <c r="T90" s="3186">
        <v>5660.7768999999998</v>
      </c>
      <c r="U90" s="3186">
        <v>526056</v>
      </c>
      <c r="V90" s="3186"/>
      <c r="W90" s="3186"/>
      <c r="X90" s="3186"/>
      <c r="Y90" s="3186"/>
      <c r="Z90" s="3186">
        <v>0</v>
      </c>
      <c r="AA90" s="3186"/>
      <c r="AB90" s="3186">
        <v>0</v>
      </c>
      <c r="AC90" s="3187">
        <v>44006</v>
      </c>
      <c r="AD90" s="3187">
        <v>45264.773614039397</v>
      </c>
      <c r="AE90" s="3187">
        <v>44090.403246412003</v>
      </c>
      <c r="AF90" s="3187"/>
      <c r="AG90" s="3187"/>
      <c r="AH90" s="3187"/>
      <c r="AI90" s="3187"/>
      <c r="AJ90" s="3187"/>
      <c r="AK90" s="3188">
        <v>44834</v>
      </c>
      <c r="AL90" s="3187">
        <v>44006</v>
      </c>
      <c r="AM90" s="3188"/>
      <c r="AN90" s="3188"/>
      <c r="AO90" s="3188"/>
      <c r="AP90" s="3188"/>
      <c r="AQ90" s="3188"/>
      <c r="AR90" s="3188"/>
      <c r="AS90" s="3188"/>
      <c r="AT90" s="3188"/>
    </row>
    <row r="91" spans="1:46" ht="26.1" customHeight="1">
      <c r="A91" s="3185">
        <v>327</v>
      </c>
      <c r="B91" s="3185" t="s">
        <v>3488</v>
      </c>
      <c r="C91" s="3185" t="s">
        <v>3489</v>
      </c>
      <c r="D91" s="3185" t="s">
        <v>3490</v>
      </c>
      <c r="E91" s="3185" t="s">
        <v>3776</v>
      </c>
      <c r="F91" s="3185" t="s">
        <v>3538</v>
      </c>
      <c r="G91" s="3185" t="s">
        <v>3522</v>
      </c>
      <c r="H91" s="3185" t="s">
        <v>3509</v>
      </c>
      <c r="I91" s="3185" t="s">
        <v>3777</v>
      </c>
      <c r="J91" s="3185" t="s">
        <v>3389</v>
      </c>
      <c r="K91" s="3185" t="s">
        <v>3496</v>
      </c>
      <c r="L91" s="3186">
        <v>114.36</v>
      </c>
      <c r="M91" s="3186">
        <v>92.93</v>
      </c>
      <c r="N91" s="3191">
        <v>114.36</v>
      </c>
      <c r="O91" s="3186">
        <v>92.93</v>
      </c>
      <c r="P91" s="3186">
        <v>4600</v>
      </c>
      <c r="Q91" s="3186">
        <v>5660.78</v>
      </c>
      <c r="R91" s="3186">
        <v>526056</v>
      </c>
      <c r="S91" s="3186">
        <v>4600</v>
      </c>
      <c r="T91" s="3186">
        <v>5660.7768999999998</v>
      </c>
      <c r="U91" s="3186">
        <v>526056</v>
      </c>
      <c r="V91" s="3186"/>
      <c r="W91" s="3186"/>
      <c r="X91" s="3186"/>
      <c r="Y91" s="3186"/>
      <c r="Z91" s="3186">
        <v>0</v>
      </c>
      <c r="AA91" s="3186"/>
      <c r="AB91" s="3186">
        <v>0</v>
      </c>
      <c r="AC91" s="3187">
        <v>44006</v>
      </c>
      <c r="AD91" s="3187">
        <v>45264.773614039397</v>
      </c>
      <c r="AE91" s="3187">
        <v>44090.403246412003</v>
      </c>
      <c r="AF91" s="3187"/>
      <c r="AG91" s="3187"/>
      <c r="AH91" s="3188"/>
      <c r="AI91" s="3188"/>
      <c r="AJ91" s="3187"/>
      <c r="AK91" s="3188">
        <v>44834</v>
      </c>
      <c r="AL91" s="3187">
        <v>44006</v>
      </c>
      <c r="AM91" s="3188"/>
      <c r="AN91" s="3188"/>
      <c r="AO91" s="3188"/>
      <c r="AP91" s="3188"/>
      <c r="AQ91" s="3188"/>
      <c r="AR91" s="3188"/>
      <c r="AS91" s="3188"/>
      <c r="AT91" s="3188"/>
    </row>
    <row r="92" spans="1:46" ht="26.1" customHeight="1">
      <c r="A92" s="3185">
        <v>328</v>
      </c>
      <c r="B92" s="3185" t="s">
        <v>3488</v>
      </c>
      <c r="C92" s="3185" t="s">
        <v>3489</v>
      </c>
      <c r="D92" s="3185" t="s">
        <v>3490</v>
      </c>
      <c r="E92" s="3185" t="s">
        <v>3776</v>
      </c>
      <c r="F92" s="3185" t="s">
        <v>3538</v>
      </c>
      <c r="G92" s="3185" t="s">
        <v>3523</v>
      </c>
      <c r="H92" s="3185" t="s">
        <v>3509</v>
      </c>
      <c r="I92" s="3185" t="s">
        <v>3777</v>
      </c>
      <c r="J92" s="3185" t="s">
        <v>3389</v>
      </c>
      <c r="K92" s="3185" t="s">
        <v>3496</v>
      </c>
      <c r="L92" s="3186">
        <v>114.36</v>
      </c>
      <c r="M92" s="3186">
        <v>92.93</v>
      </c>
      <c r="N92" s="3191">
        <v>114.36</v>
      </c>
      <c r="O92" s="3186">
        <v>92.93</v>
      </c>
      <c r="P92" s="3186">
        <v>4600</v>
      </c>
      <c r="Q92" s="3186">
        <v>5660.78</v>
      </c>
      <c r="R92" s="3186">
        <v>526056</v>
      </c>
      <c r="S92" s="3186">
        <v>4600</v>
      </c>
      <c r="T92" s="3186">
        <v>5660.7768999999998</v>
      </c>
      <c r="U92" s="3186">
        <v>526056</v>
      </c>
      <c r="V92" s="3186"/>
      <c r="W92" s="3186"/>
      <c r="X92" s="3186"/>
      <c r="Y92" s="3186"/>
      <c r="Z92" s="3186">
        <v>0</v>
      </c>
      <c r="AA92" s="3186"/>
      <c r="AB92" s="3186">
        <v>0</v>
      </c>
      <c r="AC92" s="3187">
        <v>44006</v>
      </c>
      <c r="AD92" s="3187">
        <v>45264.773614039397</v>
      </c>
      <c r="AE92" s="3187">
        <v>44090.403246412003</v>
      </c>
      <c r="AF92" s="3187"/>
      <c r="AG92" s="3187"/>
      <c r="AH92" s="3187"/>
      <c r="AI92" s="3187"/>
      <c r="AJ92" s="3187"/>
      <c r="AK92" s="3188">
        <v>44834</v>
      </c>
      <c r="AL92" s="3187">
        <v>44006</v>
      </c>
      <c r="AM92" s="3188"/>
      <c r="AN92" s="3188"/>
      <c r="AO92" s="3188"/>
      <c r="AP92" s="3188"/>
      <c r="AQ92" s="3188"/>
      <c r="AR92" s="3188"/>
      <c r="AS92" s="3188"/>
      <c r="AT92" s="3188"/>
    </row>
    <row r="93" spans="1:46" ht="26.1" customHeight="1">
      <c r="A93" s="3185">
        <v>329</v>
      </c>
      <c r="B93" s="3185" t="s">
        <v>3488</v>
      </c>
      <c r="C93" s="3185" t="s">
        <v>3489</v>
      </c>
      <c r="D93" s="3185" t="s">
        <v>3490</v>
      </c>
      <c r="E93" s="3185" t="s">
        <v>3776</v>
      </c>
      <c r="F93" s="3185" t="s">
        <v>3538</v>
      </c>
      <c r="G93" s="3185" t="s">
        <v>3525</v>
      </c>
      <c r="H93" s="3185" t="s">
        <v>3509</v>
      </c>
      <c r="I93" s="3185" t="s">
        <v>3777</v>
      </c>
      <c r="J93" s="3185" t="s">
        <v>3389</v>
      </c>
      <c r="K93" s="3185" t="s">
        <v>3496</v>
      </c>
      <c r="L93" s="3186">
        <v>114.36</v>
      </c>
      <c r="M93" s="3186">
        <v>92.93</v>
      </c>
      <c r="N93" s="3191">
        <v>114.36</v>
      </c>
      <c r="O93" s="3186">
        <v>92.93</v>
      </c>
      <c r="P93" s="3186">
        <v>4550</v>
      </c>
      <c r="Q93" s="3186">
        <v>5599.25</v>
      </c>
      <c r="R93" s="3186">
        <v>520338</v>
      </c>
      <c r="S93" s="3186">
        <v>4550</v>
      </c>
      <c r="T93" s="3186">
        <v>5599.2466999999997</v>
      </c>
      <c r="U93" s="3186">
        <v>520338</v>
      </c>
      <c r="V93" s="3186"/>
      <c r="W93" s="3186"/>
      <c r="X93" s="3186"/>
      <c r="Y93" s="3186"/>
      <c r="Z93" s="3186">
        <v>0</v>
      </c>
      <c r="AA93" s="3186"/>
      <c r="AB93" s="3186">
        <v>0</v>
      </c>
      <c r="AC93" s="3187">
        <v>44006</v>
      </c>
      <c r="AD93" s="3187">
        <v>45264.773614039397</v>
      </c>
      <c r="AE93" s="3187">
        <v>44090.403246412003</v>
      </c>
      <c r="AF93" s="3187"/>
      <c r="AG93" s="3187"/>
      <c r="AH93" s="3188"/>
      <c r="AI93" s="3188"/>
      <c r="AJ93" s="3187"/>
      <c r="AK93" s="3188"/>
      <c r="AL93" s="3187">
        <v>44006</v>
      </c>
      <c r="AM93" s="3188"/>
      <c r="AN93" s="3188"/>
      <c r="AO93" s="3188"/>
      <c r="AP93" s="3188"/>
      <c r="AQ93" s="3188"/>
      <c r="AR93" s="3188"/>
      <c r="AS93" s="3188"/>
      <c r="AT93" s="3188"/>
    </row>
    <row r="94" spans="1:46" ht="26.1" customHeight="1">
      <c r="A94" s="3185">
        <v>331</v>
      </c>
      <c r="B94" s="3185" t="s">
        <v>3488</v>
      </c>
      <c r="C94" s="3185" t="s">
        <v>3489</v>
      </c>
      <c r="D94" s="3185" t="s">
        <v>3490</v>
      </c>
      <c r="E94" s="3185" t="s">
        <v>3776</v>
      </c>
      <c r="F94" s="3185" t="s">
        <v>3538</v>
      </c>
      <c r="G94" s="3185" t="s">
        <v>3529</v>
      </c>
      <c r="H94" s="3185" t="s">
        <v>3509</v>
      </c>
      <c r="I94" s="3185" t="s">
        <v>3777</v>
      </c>
      <c r="J94" s="3185" t="s">
        <v>3389</v>
      </c>
      <c r="K94" s="3185" t="s">
        <v>3496</v>
      </c>
      <c r="L94" s="3186">
        <v>114.36</v>
      </c>
      <c r="M94" s="3186">
        <v>92.93</v>
      </c>
      <c r="N94" s="3191">
        <v>114.36</v>
      </c>
      <c r="O94" s="3186">
        <v>92.93</v>
      </c>
      <c r="P94" s="3186">
        <v>4800</v>
      </c>
      <c r="Q94" s="3186">
        <v>5906.9</v>
      </c>
      <c r="R94" s="3186">
        <v>548928</v>
      </c>
      <c r="S94" s="3186">
        <v>4800</v>
      </c>
      <c r="T94" s="3186">
        <v>5906.8977000000004</v>
      </c>
      <c r="U94" s="3186">
        <v>548928</v>
      </c>
      <c r="V94" s="3186"/>
      <c r="W94" s="3186"/>
      <c r="X94" s="3186"/>
      <c r="Y94" s="3186"/>
      <c r="Z94" s="3186">
        <v>0</v>
      </c>
      <c r="AA94" s="3186"/>
      <c r="AB94" s="3186">
        <v>0</v>
      </c>
      <c r="AC94" s="3187">
        <v>44006</v>
      </c>
      <c r="AD94" s="3187">
        <v>45264.773614039397</v>
      </c>
      <c r="AE94" s="3187">
        <v>44090.403246412003</v>
      </c>
      <c r="AF94" s="3187"/>
      <c r="AG94" s="3187"/>
      <c r="AH94" s="3188"/>
      <c r="AI94" s="3188"/>
      <c r="AJ94" s="3187"/>
      <c r="AK94" s="3188">
        <v>44834</v>
      </c>
      <c r="AL94" s="3187">
        <v>44006</v>
      </c>
      <c r="AM94" s="3188"/>
      <c r="AN94" s="3188"/>
      <c r="AO94" s="3188"/>
      <c r="AP94" s="3188"/>
      <c r="AQ94" s="3188"/>
      <c r="AR94" s="3188"/>
      <c r="AS94" s="3188"/>
      <c r="AT94" s="3188"/>
    </row>
    <row r="95" spans="1:46" ht="26.1" customHeight="1">
      <c r="A95" s="3185">
        <v>332</v>
      </c>
      <c r="B95" s="3185" t="s">
        <v>3488</v>
      </c>
      <c r="C95" s="3185" t="s">
        <v>3489</v>
      </c>
      <c r="D95" s="3185" t="s">
        <v>3490</v>
      </c>
      <c r="E95" s="3185" t="s">
        <v>3776</v>
      </c>
      <c r="F95" s="3185" t="s">
        <v>3538</v>
      </c>
      <c r="G95" s="3185" t="s">
        <v>3530</v>
      </c>
      <c r="H95" s="3185" t="s">
        <v>3509</v>
      </c>
      <c r="I95" s="3185" t="s">
        <v>3777</v>
      </c>
      <c r="J95" s="3185" t="s">
        <v>3389</v>
      </c>
      <c r="K95" s="3185" t="s">
        <v>3496</v>
      </c>
      <c r="L95" s="3186">
        <v>114.36</v>
      </c>
      <c r="M95" s="3186">
        <v>92.93</v>
      </c>
      <c r="N95" s="3191">
        <v>114.36</v>
      </c>
      <c r="O95" s="3186">
        <v>92.93</v>
      </c>
      <c r="P95" s="3186">
        <v>4800</v>
      </c>
      <c r="Q95" s="3186">
        <v>5906.9</v>
      </c>
      <c r="R95" s="3186">
        <v>548928</v>
      </c>
      <c r="S95" s="3186">
        <v>4800</v>
      </c>
      <c r="T95" s="3186">
        <v>5906.8977000000004</v>
      </c>
      <c r="U95" s="3186">
        <v>548928</v>
      </c>
      <c r="V95" s="3186"/>
      <c r="W95" s="3186"/>
      <c r="X95" s="3186"/>
      <c r="Y95" s="3186"/>
      <c r="Z95" s="3186">
        <v>0</v>
      </c>
      <c r="AA95" s="3186"/>
      <c r="AB95" s="3186">
        <v>0</v>
      </c>
      <c r="AC95" s="3187">
        <v>44006</v>
      </c>
      <c r="AD95" s="3187">
        <v>45264.773614039397</v>
      </c>
      <c r="AE95" s="3187">
        <v>44090.403246412003</v>
      </c>
      <c r="AF95" s="3187"/>
      <c r="AG95" s="3187"/>
      <c r="AH95" s="3187"/>
      <c r="AI95" s="3187"/>
      <c r="AJ95" s="3187"/>
      <c r="AK95" s="3188">
        <v>44834</v>
      </c>
      <c r="AL95" s="3187">
        <v>44006</v>
      </c>
      <c r="AM95" s="3188"/>
      <c r="AN95" s="3188"/>
      <c r="AO95" s="3188"/>
      <c r="AP95" s="3188"/>
      <c r="AQ95" s="3188"/>
      <c r="AR95" s="3188"/>
      <c r="AS95" s="3188"/>
      <c r="AT95" s="3188"/>
    </row>
    <row r="96" spans="1:46" ht="26.1" customHeight="1">
      <c r="A96" s="3185">
        <v>333</v>
      </c>
      <c r="B96" s="3185" t="s">
        <v>3488</v>
      </c>
      <c r="C96" s="3185" t="s">
        <v>3489</v>
      </c>
      <c r="D96" s="3185" t="s">
        <v>3490</v>
      </c>
      <c r="E96" s="3185" t="s">
        <v>3776</v>
      </c>
      <c r="F96" s="3185" t="s">
        <v>3538</v>
      </c>
      <c r="G96" s="3185" t="s">
        <v>3532</v>
      </c>
      <c r="H96" s="3185" t="s">
        <v>3509</v>
      </c>
      <c r="I96" s="3185" t="s">
        <v>3777</v>
      </c>
      <c r="J96" s="3185" t="s">
        <v>3389</v>
      </c>
      <c r="K96" s="3185" t="s">
        <v>3496</v>
      </c>
      <c r="L96" s="3186">
        <v>151.86000000000001</v>
      </c>
      <c r="M96" s="3186">
        <v>123.4</v>
      </c>
      <c r="N96" s="3191">
        <v>151.86000000000001</v>
      </c>
      <c r="O96" s="3186">
        <v>123.4</v>
      </c>
      <c r="P96" s="3186">
        <v>4800</v>
      </c>
      <c r="Q96" s="3186">
        <v>5907.03</v>
      </c>
      <c r="R96" s="3186">
        <v>728928</v>
      </c>
      <c r="S96" s="3186">
        <v>4800</v>
      </c>
      <c r="T96" s="3186">
        <v>5907.0339999999997</v>
      </c>
      <c r="U96" s="3186">
        <v>728928</v>
      </c>
      <c r="V96" s="3186"/>
      <c r="W96" s="3186"/>
      <c r="X96" s="3186"/>
      <c r="Y96" s="3186"/>
      <c r="Z96" s="3186">
        <v>0</v>
      </c>
      <c r="AA96" s="3186"/>
      <c r="AB96" s="3186">
        <v>0</v>
      </c>
      <c r="AC96" s="3187">
        <v>44006</v>
      </c>
      <c r="AD96" s="3187">
        <v>45264.773614039397</v>
      </c>
      <c r="AE96" s="3187">
        <v>44090.403246412003</v>
      </c>
      <c r="AF96" s="3187"/>
      <c r="AG96" s="3187"/>
      <c r="AH96" s="3188"/>
      <c r="AI96" s="3188"/>
      <c r="AJ96" s="3187"/>
      <c r="AK96" s="3188">
        <v>44834</v>
      </c>
      <c r="AL96" s="3187">
        <v>44006</v>
      </c>
      <c r="AM96" s="3188"/>
      <c r="AN96" s="3188"/>
      <c r="AO96" s="3188"/>
      <c r="AP96" s="3188"/>
      <c r="AQ96" s="3188"/>
      <c r="AR96" s="3188"/>
      <c r="AS96" s="3188"/>
      <c r="AT96" s="3188"/>
    </row>
    <row r="97" spans="1:46" ht="26.1" customHeight="1">
      <c r="A97" s="3185">
        <v>334</v>
      </c>
      <c r="B97" s="3185" t="s">
        <v>3488</v>
      </c>
      <c r="C97" s="3185" t="s">
        <v>3489</v>
      </c>
      <c r="D97" s="3185" t="s">
        <v>3490</v>
      </c>
      <c r="E97" s="3185" t="s">
        <v>3776</v>
      </c>
      <c r="F97" s="3185" t="s">
        <v>3538</v>
      </c>
      <c r="G97" s="3185" t="s">
        <v>3534</v>
      </c>
      <c r="H97" s="3185" t="s">
        <v>3509</v>
      </c>
      <c r="I97" s="3185" t="s">
        <v>3777</v>
      </c>
      <c r="J97" s="3185" t="s">
        <v>3389</v>
      </c>
      <c r="K97" s="3185" t="s">
        <v>3496</v>
      </c>
      <c r="L97" s="3186">
        <v>151.86000000000001</v>
      </c>
      <c r="M97" s="3186">
        <v>123.4</v>
      </c>
      <c r="N97" s="3191">
        <v>151.86000000000001</v>
      </c>
      <c r="O97" s="3186">
        <v>123.4</v>
      </c>
      <c r="P97" s="3186">
        <v>4800</v>
      </c>
      <c r="Q97" s="3186">
        <v>5907.03</v>
      </c>
      <c r="R97" s="3186">
        <v>728928</v>
      </c>
      <c r="S97" s="3186">
        <v>4800</v>
      </c>
      <c r="T97" s="3186">
        <v>5907.0339999999997</v>
      </c>
      <c r="U97" s="3186">
        <v>728928</v>
      </c>
      <c r="V97" s="3186"/>
      <c r="W97" s="3186"/>
      <c r="X97" s="3186"/>
      <c r="Y97" s="3186"/>
      <c r="Z97" s="3186">
        <v>0</v>
      </c>
      <c r="AA97" s="3186"/>
      <c r="AB97" s="3186">
        <v>0</v>
      </c>
      <c r="AC97" s="3187">
        <v>44006</v>
      </c>
      <c r="AD97" s="3187">
        <v>45264.773614039397</v>
      </c>
      <c r="AE97" s="3187">
        <v>44090.403246412003</v>
      </c>
      <c r="AF97" s="3187"/>
      <c r="AG97" s="3187"/>
      <c r="AH97" s="3188"/>
      <c r="AI97" s="3188"/>
      <c r="AJ97" s="3187"/>
      <c r="AK97" s="3188">
        <v>44834</v>
      </c>
      <c r="AL97" s="3187">
        <v>44006</v>
      </c>
      <c r="AM97" s="3188"/>
      <c r="AN97" s="3188"/>
      <c r="AO97" s="3188"/>
      <c r="AP97" s="3188"/>
      <c r="AQ97" s="3188"/>
      <c r="AR97" s="3188"/>
      <c r="AS97" s="3188"/>
      <c r="AT97" s="3188"/>
    </row>
    <row r="98" spans="1:46" ht="26.1" customHeight="1">
      <c r="A98" s="3185">
        <v>337</v>
      </c>
      <c r="B98" s="3185" t="s">
        <v>3488</v>
      </c>
      <c r="C98" s="3185" t="s">
        <v>3489</v>
      </c>
      <c r="D98" s="3185" t="s">
        <v>3490</v>
      </c>
      <c r="E98" s="3185" t="s">
        <v>3776</v>
      </c>
      <c r="F98" s="3185" t="s">
        <v>3546</v>
      </c>
      <c r="G98" s="3185" t="s">
        <v>3508</v>
      </c>
      <c r="H98" s="3185" t="s">
        <v>3509</v>
      </c>
      <c r="I98" s="3185" t="s">
        <v>3777</v>
      </c>
      <c r="J98" s="3185" t="s">
        <v>3389</v>
      </c>
      <c r="K98" s="3185" t="s">
        <v>3496</v>
      </c>
      <c r="L98" s="3186">
        <v>114.36</v>
      </c>
      <c r="M98" s="3186">
        <v>92.93</v>
      </c>
      <c r="N98" s="3191">
        <v>114.36</v>
      </c>
      <c r="O98" s="3186">
        <v>92.93</v>
      </c>
      <c r="P98" s="3186">
        <v>4300</v>
      </c>
      <c r="Q98" s="3186">
        <v>5291.6</v>
      </c>
      <c r="R98" s="3186">
        <v>491748</v>
      </c>
      <c r="S98" s="3186">
        <v>4300</v>
      </c>
      <c r="T98" s="3186">
        <v>5291.5958000000001</v>
      </c>
      <c r="U98" s="3186">
        <v>491748</v>
      </c>
      <c r="V98" s="3186"/>
      <c r="W98" s="3186"/>
      <c r="X98" s="3186"/>
      <c r="Y98" s="3186"/>
      <c r="Z98" s="3186">
        <v>0</v>
      </c>
      <c r="AA98" s="3186"/>
      <c r="AB98" s="3186">
        <v>0</v>
      </c>
      <c r="AC98" s="3187">
        <v>44006</v>
      </c>
      <c r="AD98" s="3187">
        <v>45264.773614039397</v>
      </c>
      <c r="AE98" s="3187">
        <v>44090.403246412003</v>
      </c>
      <c r="AF98" s="3187"/>
      <c r="AG98" s="3187"/>
      <c r="AH98" s="3187"/>
      <c r="AI98" s="3188"/>
      <c r="AJ98" s="3187"/>
      <c r="AK98" s="3188"/>
      <c r="AL98" s="3187">
        <v>44006</v>
      </c>
      <c r="AM98" s="3188"/>
      <c r="AN98" s="3188"/>
      <c r="AO98" s="3188"/>
      <c r="AP98" s="3188"/>
      <c r="AQ98" s="3188"/>
      <c r="AR98" s="3188"/>
      <c r="AS98" s="3188"/>
      <c r="AT98" s="3188"/>
    </row>
    <row r="99" spans="1:46" ht="26.1" customHeight="1">
      <c r="A99" s="3185">
        <v>338</v>
      </c>
      <c r="B99" s="3185" t="s">
        <v>3488</v>
      </c>
      <c r="C99" s="3185" t="s">
        <v>3489</v>
      </c>
      <c r="D99" s="3185" t="s">
        <v>3490</v>
      </c>
      <c r="E99" s="3185" t="s">
        <v>3776</v>
      </c>
      <c r="F99" s="3185" t="s">
        <v>3546</v>
      </c>
      <c r="G99" s="3185" t="s">
        <v>3510</v>
      </c>
      <c r="H99" s="3185" t="s">
        <v>3509</v>
      </c>
      <c r="I99" s="3185" t="s">
        <v>3777</v>
      </c>
      <c r="J99" s="3185" t="s">
        <v>3389</v>
      </c>
      <c r="K99" s="3185" t="s">
        <v>3496</v>
      </c>
      <c r="L99" s="3186">
        <v>114.36</v>
      </c>
      <c r="M99" s="3186">
        <v>92.93</v>
      </c>
      <c r="N99" s="3191">
        <v>114.36</v>
      </c>
      <c r="O99" s="3186">
        <v>92.93</v>
      </c>
      <c r="P99" s="3186">
        <v>4300</v>
      </c>
      <c r="Q99" s="3186">
        <v>5291.6</v>
      </c>
      <c r="R99" s="3186">
        <v>491748</v>
      </c>
      <c r="S99" s="3186">
        <v>4300</v>
      </c>
      <c r="T99" s="3186">
        <v>5291.5958000000001</v>
      </c>
      <c r="U99" s="3186">
        <v>491748</v>
      </c>
      <c r="V99" s="3186"/>
      <c r="W99" s="3186"/>
      <c r="X99" s="3186"/>
      <c r="Y99" s="3186"/>
      <c r="Z99" s="3186">
        <v>0</v>
      </c>
      <c r="AA99" s="3186"/>
      <c r="AB99" s="3186">
        <v>0</v>
      </c>
      <c r="AC99" s="3187">
        <v>44006</v>
      </c>
      <c r="AD99" s="3187">
        <v>45264.773614039397</v>
      </c>
      <c r="AE99" s="3187">
        <v>44090.403246412003</v>
      </c>
      <c r="AF99" s="3188"/>
      <c r="AG99" s="3187"/>
      <c r="AH99" s="3187"/>
      <c r="AI99" s="3188"/>
      <c r="AJ99" s="3187"/>
      <c r="AK99" s="3188">
        <v>44834</v>
      </c>
      <c r="AL99" s="3187">
        <v>44006</v>
      </c>
      <c r="AM99" s="3188"/>
      <c r="AN99" s="3188"/>
      <c r="AO99" s="3188"/>
      <c r="AP99" s="3188"/>
      <c r="AQ99" s="3188"/>
      <c r="AR99" s="3188"/>
      <c r="AS99" s="3188"/>
      <c r="AT99" s="3188"/>
    </row>
    <row r="100" spans="1:46" ht="26.1" customHeight="1">
      <c r="A100" s="3185">
        <v>339</v>
      </c>
      <c r="B100" s="3185" t="s">
        <v>3488</v>
      </c>
      <c r="C100" s="3185" t="s">
        <v>3489</v>
      </c>
      <c r="D100" s="3185" t="s">
        <v>3490</v>
      </c>
      <c r="E100" s="3185" t="s">
        <v>3776</v>
      </c>
      <c r="F100" s="3185" t="s">
        <v>3546</v>
      </c>
      <c r="G100" s="3185" t="s">
        <v>3511</v>
      </c>
      <c r="H100" s="3185" t="s">
        <v>3509</v>
      </c>
      <c r="I100" s="3185" t="s">
        <v>3777</v>
      </c>
      <c r="J100" s="3185" t="s">
        <v>3389</v>
      </c>
      <c r="K100" s="3185" t="s">
        <v>3496</v>
      </c>
      <c r="L100" s="3186">
        <v>114.36</v>
      </c>
      <c r="M100" s="3186">
        <v>92.93</v>
      </c>
      <c r="N100" s="3191">
        <v>114.36</v>
      </c>
      <c r="O100" s="3186">
        <v>92.93</v>
      </c>
      <c r="P100" s="3186">
        <v>4350</v>
      </c>
      <c r="Q100" s="3186">
        <v>5353.13</v>
      </c>
      <c r="R100" s="3186">
        <v>497466</v>
      </c>
      <c r="S100" s="3186">
        <v>4350</v>
      </c>
      <c r="T100" s="3186">
        <v>5353.1260000000002</v>
      </c>
      <c r="U100" s="3186">
        <v>497466</v>
      </c>
      <c r="V100" s="3186"/>
      <c r="W100" s="3186"/>
      <c r="X100" s="3186"/>
      <c r="Y100" s="3186"/>
      <c r="Z100" s="3186">
        <v>0</v>
      </c>
      <c r="AA100" s="3186"/>
      <c r="AB100" s="3186">
        <v>0</v>
      </c>
      <c r="AC100" s="3187">
        <v>44006</v>
      </c>
      <c r="AD100" s="3187">
        <v>45264.773614039397</v>
      </c>
      <c r="AE100" s="3187">
        <v>44090.403246412003</v>
      </c>
      <c r="AF100" s="3187"/>
      <c r="AG100" s="3187"/>
      <c r="AH100" s="3188"/>
      <c r="AI100" s="3188"/>
      <c r="AJ100" s="3187"/>
      <c r="AK100" s="3188">
        <v>44834</v>
      </c>
      <c r="AL100" s="3187">
        <v>44006</v>
      </c>
      <c r="AM100" s="3188"/>
      <c r="AN100" s="3188"/>
      <c r="AO100" s="3188"/>
      <c r="AP100" s="3188"/>
      <c r="AQ100" s="3188"/>
      <c r="AR100" s="3188"/>
      <c r="AS100" s="3188"/>
      <c r="AT100" s="3188"/>
    </row>
    <row r="101" spans="1:46" ht="26.1" customHeight="1">
      <c r="A101" s="3185">
        <v>340</v>
      </c>
      <c r="B101" s="3185" t="s">
        <v>3488</v>
      </c>
      <c r="C101" s="3185" t="s">
        <v>3489</v>
      </c>
      <c r="D101" s="3185" t="s">
        <v>3490</v>
      </c>
      <c r="E101" s="3185" t="s">
        <v>3776</v>
      </c>
      <c r="F101" s="3185" t="s">
        <v>3546</v>
      </c>
      <c r="G101" s="3185" t="s">
        <v>3512</v>
      </c>
      <c r="H101" s="3185" t="s">
        <v>3509</v>
      </c>
      <c r="I101" s="3185" t="s">
        <v>3777</v>
      </c>
      <c r="J101" s="3185" t="s">
        <v>3389</v>
      </c>
      <c r="K101" s="3185" t="s">
        <v>3496</v>
      </c>
      <c r="L101" s="3186">
        <v>114.36</v>
      </c>
      <c r="M101" s="3186">
        <v>92.93</v>
      </c>
      <c r="N101" s="3191">
        <v>114.36</v>
      </c>
      <c r="O101" s="3186">
        <v>92.93</v>
      </c>
      <c r="P101" s="3186">
        <v>4350</v>
      </c>
      <c r="Q101" s="3186">
        <v>5353.13</v>
      </c>
      <c r="R101" s="3186">
        <v>497466</v>
      </c>
      <c r="S101" s="3186">
        <v>4350</v>
      </c>
      <c r="T101" s="3186">
        <v>5353.1260000000002</v>
      </c>
      <c r="U101" s="3186">
        <v>497466</v>
      </c>
      <c r="V101" s="3186"/>
      <c r="W101" s="3186"/>
      <c r="X101" s="3186"/>
      <c r="Y101" s="3186"/>
      <c r="Z101" s="3186">
        <v>0</v>
      </c>
      <c r="AA101" s="3186"/>
      <c r="AB101" s="3186">
        <v>0</v>
      </c>
      <c r="AC101" s="3187">
        <v>44006</v>
      </c>
      <c r="AD101" s="3187">
        <v>45264.773614039397</v>
      </c>
      <c r="AE101" s="3187">
        <v>44090.403246412003</v>
      </c>
      <c r="AF101" s="3187"/>
      <c r="AG101" s="3187"/>
      <c r="AH101" s="3187"/>
      <c r="AI101" s="3187"/>
      <c r="AJ101" s="3187"/>
      <c r="AK101" s="3188">
        <v>44834</v>
      </c>
      <c r="AL101" s="3187">
        <v>44006</v>
      </c>
      <c r="AM101" s="3188"/>
      <c r="AN101" s="3188"/>
      <c r="AO101" s="3188"/>
      <c r="AP101" s="3188"/>
      <c r="AQ101" s="3188"/>
      <c r="AR101" s="3188"/>
      <c r="AS101" s="3188"/>
      <c r="AT101" s="3188"/>
    </row>
    <row r="102" spans="1:46" ht="26.1" customHeight="1">
      <c r="A102" s="3185">
        <v>341</v>
      </c>
      <c r="B102" s="3185" t="s">
        <v>3488</v>
      </c>
      <c r="C102" s="3185" t="s">
        <v>3489</v>
      </c>
      <c r="D102" s="3185" t="s">
        <v>3490</v>
      </c>
      <c r="E102" s="3185" t="s">
        <v>3776</v>
      </c>
      <c r="F102" s="3185" t="s">
        <v>3546</v>
      </c>
      <c r="G102" s="3185" t="s">
        <v>3513</v>
      </c>
      <c r="H102" s="3185" t="s">
        <v>3509</v>
      </c>
      <c r="I102" s="3185" t="s">
        <v>3777</v>
      </c>
      <c r="J102" s="3185" t="s">
        <v>3389</v>
      </c>
      <c r="K102" s="3185" t="s">
        <v>3496</v>
      </c>
      <c r="L102" s="3186">
        <v>114.36</v>
      </c>
      <c r="M102" s="3186">
        <v>92.93</v>
      </c>
      <c r="N102" s="3191">
        <v>114.36</v>
      </c>
      <c r="O102" s="3186">
        <v>92.93</v>
      </c>
      <c r="P102" s="3186">
        <v>4400</v>
      </c>
      <c r="Q102" s="3186">
        <v>5414.66</v>
      </c>
      <c r="R102" s="3186">
        <v>503184</v>
      </c>
      <c r="S102" s="3186">
        <v>4400</v>
      </c>
      <c r="T102" s="3186">
        <v>5414.6562000000004</v>
      </c>
      <c r="U102" s="3186">
        <v>503184</v>
      </c>
      <c r="V102" s="3186"/>
      <c r="W102" s="3186"/>
      <c r="X102" s="3186"/>
      <c r="Y102" s="3186"/>
      <c r="Z102" s="3186">
        <v>0</v>
      </c>
      <c r="AA102" s="3186"/>
      <c r="AB102" s="3186">
        <v>0</v>
      </c>
      <c r="AC102" s="3187">
        <v>44006</v>
      </c>
      <c r="AD102" s="3187">
        <v>45264.773614039397</v>
      </c>
      <c r="AE102" s="3187">
        <v>44090.403246412003</v>
      </c>
      <c r="AF102" s="3187"/>
      <c r="AG102" s="3187"/>
      <c r="AH102" s="3187"/>
      <c r="AI102" s="3187"/>
      <c r="AJ102" s="3187"/>
      <c r="AK102" s="3188"/>
      <c r="AL102" s="3187">
        <v>44006</v>
      </c>
      <c r="AM102" s="3188"/>
      <c r="AN102" s="3188"/>
      <c r="AO102" s="3188"/>
      <c r="AP102" s="3188"/>
      <c r="AQ102" s="3188"/>
      <c r="AR102" s="3188"/>
      <c r="AS102" s="3188"/>
      <c r="AT102" s="3188"/>
    </row>
    <row r="103" spans="1:46" ht="26.1" customHeight="1">
      <c r="A103" s="3185">
        <v>342</v>
      </c>
      <c r="B103" s="3185" t="s">
        <v>3488</v>
      </c>
      <c r="C103" s="3185" t="s">
        <v>3489</v>
      </c>
      <c r="D103" s="3185" t="s">
        <v>3490</v>
      </c>
      <c r="E103" s="3185" t="s">
        <v>3776</v>
      </c>
      <c r="F103" s="3185" t="s">
        <v>3546</v>
      </c>
      <c r="G103" s="3185" t="s">
        <v>3514</v>
      </c>
      <c r="H103" s="3185" t="s">
        <v>3509</v>
      </c>
      <c r="I103" s="3185" t="s">
        <v>3777</v>
      </c>
      <c r="J103" s="3185" t="s">
        <v>3389</v>
      </c>
      <c r="K103" s="3185" t="s">
        <v>3496</v>
      </c>
      <c r="L103" s="3186">
        <v>114.36</v>
      </c>
      <c r="M103" s="3186">
        <v>92.93</v>
      </c>
      <c r="N103" s="3191">
        <v>114.36</v>
      </c>
      <c r="O103" s="3186">
        <v>92.93</v>
      </c>
      <c r="P103" s="3186">
        <v>4400</v>
      </c>
      <c r="Q103" s="3186">
        <v>5414.66</v>
      </c>
      <c r="R103" s="3186">
        <v>503184</v>
      </c>
      <c r="S103" s="3186">
        <v>4400</v>
      </c>
      <c r="T103" s="3186">
        <v>5414.6562000000004</v>
      </c>
      <c r="U103" s="3186">
        <v>503184</v>
      </c>
      <c r="V103" s="3186"/>
      <c r="W103" s="3186"/>
      <c r="X103" s="3186"/>
      <c r="Y103" s="3186"/>
      <c r="Z103" s="3186">
        <v>0</v>
      </c>
      <c r="AA103" s="3186"/>
      <c r="AB103" s="3186">
        <v>0</v>
      </c>
      <c r="AC103" s="3187">
        <v>44006</v>
      </c>
      <c r="AD103" s="3187">
        <v>45264.773614039397</v>
      </c>
      <c r="AE103" s="3187">
        <v>44090.403246412003</v>
      </c>
      <c r="AF103" s="3187"/>
      <c r="AG103" s="3187"/>
      <c r="AH103" s="3187"/>
      <c r="AI103" s="3187"/>
      <c r="AJ103" s="3187"/>
      <c r="AK103" s="3188">
        <v>44834</v>
      </c>
      <c r="AL103" s="3187">
        <v>44006</v>
      </c>
      <c r="AM103" s="3188"/>
      <c r="AN103" s="3188"/>
      <c r="AO103" s="3188"/>
      <c r="AP103" s="3188"/>
      <c r="AQ103" s="3188"/>
      <c r="AR103" s="3188"/>
      <c r="AS103" s="3188"/>
      <c r="AT103" s="3188"/>
    </row>
    <row r="104" spans="1:46" ht="26.1" customHeight="1">
      <c r="A104" s="3185">
        <v>344</v>
      </c>
      <c r="B104" s="3185" t="s">
        <v>3488</v>
      </c>
      <c r="C104" s="3185" t="s">
        <v>3489</v>
      </c>
      <c r="D104" s="3185" t="s">
        <v>3490</v>
      </c>
      <c r="E104" s="3185" t="s">
        <v>3776</v>
      </c>
      <c r="F104" s="3185" t="s">
        <v>3546</v>
      </c>
      <c r="G104" s="3185" t="s">
        <v>3521</v>
      </c>
      <c r="H104" s="3185" t="s">
        <v>3509</v>
      </c>
      <c r="I104" s="3185" t="s">
        <v>3777</v>
      </c>
      <c r="J104" s="3185" t="s">
        <v>3389</v>
      </c>
      <c r="K104" s="3185" t="s">
        <v>3496</v>
      </c>
      <c r="L104" s="3186">
        <v>114.36</v>
      </c>
      <c r="M104" s="3186">
        <v>92.93</v>
      </c>
      <c r="N104" s="3191">
        <v>114.36</v>
      </c>
      <c r="O104" s="3186">
        <v>92.93</v>
      </c>
      <c r="P104" s="3186">
        <v>4600</v>
      </c>
      <c r="Q104" s="3186">
        <v>5660.78</v>
      </c>
      <c r="R104" s="3186">
        <v>526056</v>
      </c>
      <c r="S104" s="3186">
        <v>4600</v>
      </c>
      <c r="T104" s="3186">
        <v>5660.7768999999998</v>
      </c>
      <c r="U104" s="3186">
        <v>526056</v>
      </c>
      <c r="V104" s="3186"/>
      <c r="W104" s="3186"/>
      <c r="X104" s="3186"/>
      <c r="Y104" s="3186"/>
      <c r="Z104" s="3186">
        <v>0</v>
      </c>
      <c r="AA104" s="3186"/>
      <c r="AB104" s="3186">
        <v>0</v>
      </c>
      <c r="AC104" s="3187">
        <v>44006</v>
      </c>
      <c r="AD104" s="3187">
        <v>45264.773614039397</v>
      </c>
      <c r="AE104" s="3187">
        <v>44090.403246412003</v>
      </c>
      <c r="AF104" s="3187"/>
      <c r="AG104" s="3187"/>
      <c r="AH104" s="3188"/>
      <c r="AI104" s="3188"/>
      <c r="AJ104" s="3187"/>
      <c r="AK104" s="3188">
        <v>44834</v>
      </c>
      <c r="AL104" s="3187">
        <v>44006</v>
      </c>
      <c r="AM104" s="3188"/>
      <c r="AN104" s="3188"/>
      <c r="AO104" s="3188"/>
      <c r="AP104" s="3188"/>
      <c r="AQ104" s="3188"/>
      <c r="AR104" s="3188"/>
      <c r="AS104" s="3188"/>
      <c r="AT104" s="3188"/>
    </row>
    <row r="105" spans="1:46" ht="26.1" customHeight="1">
      <c r="A105" s="3185">
        <v>345</v>
      </c>
      <c r="B105" s="3185" t="s">
        <v>3488</v>
      </c>
      <c r="C105" s="3185" t="s">
        <v>3489</v>
      </c>
      <c r="D105" s="3185" t="s">
        <v>3490</v>
      </c>
      <c r="E105" s="3185" t="s">
        <v>3776</v>
      </c>
      <c r="F105" s="3185" t="s">
        <v>3546</v>
      </c>
      <c r="G105" s="3185" t="s">
        <v>3522</v>
      </c>
      <c r="H105" s="3185" t="s">
        <v>3509</v>
      </c>
      <c r="I105" s="3185" t="s">
        <v>3777</v>
      </c>
      <c r="J105" s="3185" t="s">
        <v>3389</v>
      </c>
      <c r="K105" s="3185" t="s">
        <v>3496</v>
      </c>
      <c r="L105" s="3186">
        <v>114.36</v>
      </c>
      <c r="M105" s="3186">
        <v>92.93</v>
      </c>
      <c r="N105" s="3191">
        <v>114.36</v>
      </c>
      <c r="O105" s="3186">
        <v>92.93</v>
      </c>
      <c r="P105" s="3186">
        <v>4600</v>
      </c>
      <c r="Q105" s="3186">
        <v>5660.78</v>
      </c>
      <c r="R105" s="3186">
        <v>526056</v>
      </c>
      <c r="S105" s="3186">
        <v>4600</v>
      </c>
      <c r="T105" s="3186">
        <v>5660.7768999999998</v>
      </c>
      <c r="U105" s="3186">
        <v>526056</v>
      </c>
      <c r="V105" s="3186"/>
      <c r="W105" s="3186"/>
      <c r="X105" s="3186"/>
      <c r="Y105" s="3186"/>
      <c r="Z105" s="3186">
        <v>0</v>
      </c>
      <c r="AA105" s="3186"/>
      <c r="AB105" s="3186">
        <v>0</v>
      </c>
      <c r="AC105" s="3187">
        <v>44006</v>
      </c>
      <c r="AD105" s="3187">
        <v>45264.773614039397</v>
      </c>
      <c r="AE105" s="3187">
        <v>44090.403246412003</v>
      </c>
      <c r="AF105" s="3187"/>
      <c r="AG105" s="3187"/>
      <c r="AH105" s="3187"/>
      <c r="AI105" s="3187"/>
      <c r="AJ105" s="3187"/>
      <c r="AK105" s="3188">
        <v>44834</v>
      </c>
      <c r="AL105" s="3187">
        <v>44006</v>
      </c>
      <c r="AM105" s="3188"/>
      <c r="AN105" s="3188"/>
      <c r="AO105" s="3188"/>
      <c r="AP105" s="3188"/>
      <c r="AQ105" s="3188"/>
      <c r="AR105" s="3188"/>
      <c r="AS105" s="3188"/>
      <c r="AT105" s="3188"/>
    </row>
    <row r="106" spans="1:46" ht="26.1" customHeight="1">
      <c r="A106" s="3185">
        <v>346</v>
      </c>
      <c r="B106" s="3185" t="s">
        <v>3488</v>
      </c>
      <c r="C106" s="3185" t="s">
        <v>3489</v>
      </c>
      <c r="D106" s="3185" t="s">
        <v>3490</v>
      </c>
      <c r="E106" s="3185" t="s">
        <v>3776</v>
      </c>
      <c r="F106" s="3185" t="s">
        <v>3546</v>
      </c>
      <c r="G106" s="3185" t="s">
        <v>3523</v>
      </c>
      <c r="H106" s="3185" t="s">
        <v>3509</v>
      </c>
      <c r="I106" s="3185" t="s">
        <v>3777</v>
      </c>
      <c r="J106" s="3185" t="s">
        <v>3389</v>
      </c>
      <c r="K106" s="3185" t="s">
        <v>3496</v>
      </c>
      <c r="L106" s="3186">
        <v>114.36</v>
      </c>
      <c r="M106" s="3186">
        <v>92.93</v>
      </c>
      <c r="N106" s="3191">
        <v>114.36</v>
      </c>
      <c r="O106" s="3186">
        <v>92.93</v>
      </c>
      <c r="P106" s="3186">
        <v>4600</v>
      </c>
      <c r="Q106" s="3186">
        <v>5660.78</v>
      </c>
      <c r="R106" s="3186">
        <v>526056</v>
      </c>
      <c r="S106" s="3186">
        <v>4600</v>
      </c>
      <c r="T106" s="3186">
        <v>5660.7768999999998</v>
      </c>
      <c r="U106" s="3186">
        <v>526056</v>
      </c>
      <c r="V106" s="3186"/>
      <c r="W106" s="3186"/>
      <c r="X106" s="3186"/>
      <c r="Y106" s="3186"/>
      <c r="Z106" s="3186">
        <v>0</v>
      </c>
      <c r="AA106" s="3186"/>
      <c r="AB106" s="3186">
        <v>0</v>
      </c>
      <c r="AC106" s="3187">
        <v>44006</v>
      </c>
      <c r="AD106" s="3187">
        <v>45264.773614039397</v>
      </c>
      <c r="AE106" s="3187">
        <v>44090.403246412003</v>
      </c>
      <c r="AF106" s="3187"/>
      <c r="AG106" s="3187"/>
      <c r="AH106" s="3187"/>
      <c r="AI106" s="3187"/>
      <c r="AJ106" s="3187"/>
      <c r="AK106" s="3188">
        <v>44834</v>
      </c>
      <c r="AL106" s="3187">
        <v>44006</v>
      </c>
      <c r="AM106" s="3188"/>
      <c r="AN106" s="3188"/>
      <c r="AO106" s="3188"/>
      <c r="AP106" s="3188"/>
      <c r="AQ106" s="3188"/>
      <c r="AR106" s="3188"/>
      <c r="AS106" s="3188"/>
      <c r="AT106" s="3188"/>
    </row>
    <row r="107" spans="1:46" ht="26.1" customHeight="1">
      <c r="A107" s="3185">
        <v>347</v>
      </c>
      <c r="B107" s="3185" t="s">
        <v>3488</v>
      </c>
      <c r="C107" s="3185" t="s">
        <v>3489</v>
      </c>
      <c r="D107" s="3185" t="s">
        <v>3490</v>
      </c>
      <c r="E107" s="3185" t="s">
        <v>3776</v>
      </c>
      <c r="F107" s="3185" t="s">
        <v>3546</v>
      </c>
      <c r="G107" s="3185" t="s">
        <v>3525</v>
      </c>
      <c r="H107" s="3185" t="s">
        <v>3509</v>
      </c>
      <c r="I107" s="3185" t="s">
        <v>3777</v>
      </c>
      <c r="J107" s="3185" t="s">
        <v>3389</v>
      </c>
      <c r="K107" s="3185" t="s">
        <v>3496</v>
      </c>
      <c r="L107" s="3186">
        <v>114.36</v>
      </c>
      <c r="M107" s="3186">
        <v>92.93</v>
      </c>
      <c r="N107" s="3191">
        <v>114.36</v>
      </c>
      <c r="O107" s="3186">
        <v>92.93</v>
      </c>
      <c r="P107" s="3186">
        <v>4550</v>
      </c>
      <c r="Q107" s="3186">
        <v>5599.25</v>
      </c>
      <c r="R107" s="3186">
        <v>520338</v>
      </c>
      <c r="S107" s="3186">
        <v>4550</v>
      </c>
      <c r="T107" s="3186">
        <v>5599.2466999999997</v>
      </c>
      <c r="U107" s="3186">
        <v>520338</v>
      </c>
      <c r="V107" s="3186"/>
      <c r="W107" s="3186"/>
      <c r="X107" s="3186"/>
      <c r="Y107" s="3186"/>
      <c r="Z107" s="3186">
        <v>0</v>
      </c>
      <c r="AA107" s="3186"/>
      <c r="AB107" s="3186">
        <v>0</v>
      </c>
      <c r="AC107" s="3187">
        <v>44006</v>
      </c>
      <c r="AD107" s="3187">
        <v>45264.773614039397</v>
      </c>
      <c r="AE107" s="3187">
        <v>44090.403246412003</v>
      </c>
      <c r="AF107" s="3187"/>
      <c r="AG107" s="3187"/>
      <c r="AH107" s="3188"/>
      <c r="AI107" s="3188"/>
      <c r="AJ107" s="3187"/>
      <c r="AK107" s="3188">
        <v>44834</v>
      </c>
      <c r="AL107" s="3187">
        <v>44006</v>
      </c>
      <c r="AM107" s="3188"/>
      <c r="AN107" s="3188"/>
      <c r="AO107" s="3188"/>
      <c r="AP107" s="3188"/>
      <c r="AQ107" s="3188"/>
      <c r="AR107" s="3188"/>
      <c r="AS107" s="3188"/>
      <c r="AT107" s="3188"/>
    </row>
    <row r="108" spans="1:46" ht="26.1" customHeight="1">
      <c r="A108" s="3185">
        <v>349</v>
      </c>
      <c r="B108" s="3185" t="s">
        <v>3488</v>
      </c>
      <c r="C108" s="3185" t="s">
        <v>3489</v>
      </c>
      <c r="D108" s="3185" t="s">
        <v>3490</v>
      </c>
      <c r="E108" s="3185" t="s">
        <v>3776</v>
      </c>
      <c r="F108" s="3185" t="s">
        <v>3546</v>
      </c>
      <c r="G108" s="3185" t="s">
        <v>3529</v>
      </c>
      <c r="H108" s="3185" t="s">
        <v>3509</v>
      </c>
      <c r="I108" s="3185" t="s">
        <v>3777</v>
      </c>
      <c r="J108" s="3185" t="s">
        <v>3389</v>
      </c>
      <c r="K108" s="3185" t="s">
        <v>3496</v>
      </c>
      <c r="L108" s="3186">
        <v>114.36</v>
      </c>
      <c r="M108" s="3186">
        <v>92.93</v>
      </c>
      <c r="N108" s="3191">
        <v>114.36</v>
      </c>
      <c r="O108" s="3186">
        <v>92.93</v>
      </c>
      <c r="P108" s="3186">
        <v>4800</v>
      </c>
      <c r="Q108" s="3186">
        <v>5906.9</v>
      </c>
      <c r="R108" s="3186">
        <v>548928</v>
      </c>
      <c r="S108" s="3186">
        <v>4800</v>
      </c>
      <c r="T108" s="3186">
        <v>5906.8977000000004</v>
      </c>
      <c r="U108" s="3186">
        <v>548928</v>
      </c>
      <c r="V108" s="3186"/>
      <c r="W108" s="3186"/>
      <c r="X108" s="3186"/>
      <c r="Y108" s="3186"/>
      <c r="Z108" s="3186">
        <v>0</v>
      </c>
      <c r="AA108" s="3186"/>
      <c r="AB108" s="3186">
        <v>0</v>
      </c>
      <c r="AC108" s="3187">
        <v>44006</v>
      </c>
      <c r="AD108" s="3187">
        <v>45264.773614039397</v>
      </c>
      <c r="AE108" s="3187">
        <v>44090.403246412003</v>
      </c>
      <c r="AF108" s="3187"/>
      <c r="AG108" s="3187"/>
      <c r="AH108" s="3188"/>
      <c r="AI108" s="3188"/>
      <c r="AJ108" s="3187"/>
      <c r="AK108" s="3188">
        <v>44834</v>
      </c>
      <c r="AL108" s="3187">
        <v>44006</v>
      </c>
      <c r="AM108" s="3188"/>
      <c r="AN108" s="3188"/>
      <c r="AO108" s="3188"/>
      <c r="AP108" s="3188"/>
      <c r="AQ108" s="3188"/>
      <c r="AR108" s="3188"/>
      <c r="AS108" s="3188"/>
      <c r="AT108" s="3188"/>
    </row>
    <row r="109" spans="1:46" ht="26.1" customHeight="1">
      <c r="A109" s="3185">
        <v>351</v>
      </c>
      <c r="B109" s="3185" t="s">
        <v>3488</v>
      </c>
      <c r="C109" s="3185" t="s">
        <v>3489</v>
      </c>
      <c r="D109" s="3185" t="s">
        <v>3490</v>
      </c>
      <c r="E109" s="3185" t="s">
        <v>3776</v>
      </c>
      <c r="F109" s="3185" t="s">
        <v>3546</v>
      </c>
      <c r="G109" s="3185" t="s">
        <v>3532</v>
      </c>
      <c r="H109" s="3185" t="s">
        <v>3509</v>
      </c>
      <c r="I109" s="3185" t="s">
        <v>3777</v>
      </c>
      <c r="J109" s="3185" t="s">
        <v>3389</v>
      </c>
      <c r="K109" s="3185" t="s">
        <v>3496</v>
      </c>
      <c r="L109" s="3186">
        <v>151.86000000000001</v>
      </c>
      <c r="M109" s="3186">
        <v>123.4</v>
      </c>
      <c r="N109" s="3191">
        <v>151.86000000000001</v>
      </c>
      <c r="O109" s="3186">
        <v>123.4</v>
      </c>
      <c r="P109" s="3186">
        <v>4800</v>
      </c>
      <c r="Q109" s="3186">
        <v>5907.03</v>
      </c>
      <c r="R109" s="3186">
        <v>728928</v>
      </c>
      <c r="S109" s="3186">
        <v>4800</v>
      </c>
      <c r="T109" s="3186">
        <v>5907.0339999999997</v>
      </c>
      <c r="U109" s="3186">
        <v>728928</v>
      </c>
      <c r="V109" s="3186"/>
      <c r="W109" s="3186"/>
      <c r="X109" s="3186"/>
      <c r="Y109" s="3186"/>
      <c r="Z109" s="3186">
        <v>0</v>
      </c>
      <c r="AA109" s="3186"/>
      <c r="AB109" s="3186">
        <v>0</v>
      </c>
      <c r="AC109" s="3187">
        <v>44006</v>
      </c>
      <c r="AD109" s="3187">
        <v>45264.773614039397</v>
      </c>
      <c r="AE109" s="3187">
        <v>44090.403246412003</v>
      </c>
      <c r="AF109" s="3187"/>
      <c r="AG109" s="3187"/>
      <c r="AH109" s="3188"/>
      <c r="AI109" s="3188"/>
      <c r="AJ109" s="3187"/>
      <c r="AK109" s="3188">
        <v>44834</v>
      </c>
      <c r="AL109" s="3187">
        <v>44006</v>
      </c>
      <c r="AM109" s="3188"/>
      <c r="AN109" s="3188"/>
      <c r="AO109" s="3188"/>
      <c r="AP109" s="3188"/>
      <c r="AQ109" s="3188"/>
      <c r="AR109" s="3188"/>
      <c r="AS109" s="3188"/>
      <c r="AT109" s="3188"/>
    </row>
    <row r="110" spans="1:46" ht="26.1" customHeight="1">
      <c r="A110" s="3185">
        <v>352</v>
      </c>
      <c r="B110" s="3185" t="s">
        <v>3488</v>
      </c>
      <c r="C110" s="3185" t="s">
        <v>3489</v>
      </c>
      <c r="D110" s="3185" t="s">
        <v>3490</v>
      </c>
      <c r="E110" s="3185" t="s">
        <v>3776</v>
      </c>
      <c r="F110" s="3185" t="s">
        <v>3546</v>
      </c>
      <c r="G110" s="3185" t="s">
        <v>3534</v>
      </c>
      <c r="H110" s="3185" t="s">
        <v>3509</v>
      </c>
      <c r="I110" s="3185" t="s">
        <v>3777</v>
      </c>
      <c r="J110" s="3185" t="s">
        <v>3389</v>
      </c>
      <c r="K110" s="3185" t="s">
        <v>3496</v>
      </c>
      <c r="L110" s="3186">
        <v>155.72999999999999</v>
      </c>
      <c r="M110" s="3186">
        <v>126.55</v>
      </c>
      <c r="N110" s="3191">
        <v>155.72999999999999</v>
      </c>
      <c r="O110" s="3186">
        <v>126.55</v>
      </c>
      <c r="P110" s="3186">
        <v>4800</v>
      </c>
      <c r="Q110" s="3186">
        <v>5906.79</v>
      </c>
      <c r="R110" s="3186">
        <v>747504</v>
      </c>
      <c r="S110" s="3186">
        <v>4800</v>
      </c>
      <c r="T110" s="3186">
        <v>5906.7878000000001</v>
      </c>
      <c r="U110" s="3186">
        <v>747504</v>
      </c>
      <c r="V110" s="3186"/>
      <c r="W110" s="3186"/>
      <c r="X110" s="3186"/>
      <c r="Y110" s="3186"/>
      <c r="Z110" s="3186">
        <v>0</v>
      </c>
      <c r="AA110" s="3186"/>
      <c r="AB110" s="3186">
        <v>0</v>
      </c>
      <c r="AC110" s="3187">
        <v>44006</v>
      </c>
      <c r="AD110" s="3187">
        <v>45264.773614039397</v>
      </c>
      <c r="AE110" s="3187">
        <v>44090.403246412003</v>
      </c>
      <c r="AF110" s="3187"/>
      <c r="AG110" s="3187"/>
      <c r="AH110" s="3187"/>
      <c r="AI110" s="3187"/>
      <c r="AJ110" s="3187"/>
      <c r="AK110" s="3188">
        <v>44834</v>
      </c>
      <c r="AL110" s="3187">
        <v>44006</v>
      </c>
      <c r="AM110" s="3188"/>
      <c r="AN110" s="3188"/>
      <c r="AO110" s="3188"/>
      <c r="AP110" s="3188"/>
      <c r="AQ110" s="3188"/>
      <c r="AR110" s="3188"/>
      <c r="AS110" s="3188"/>
      <c r="AT110" s="3188"/>
    </row>
    <row r="111" spans="1:46" ht="26.1" customHeight="1">
      <c r="A111" s="3185" t="s">
        <v>2590</v>
      </c>
      <c r="B111" s="3185"/>
      <c r="C111" s="3185"/>
      <c r="D111" s="3185"/>
      <c r="E111" s="3185"/>
      <c r="F111" s="3185"/>
      <c r="G111" s="3185"/>
      <c r="H111" s="3185"/>
      <c r="I111" s="3185"/>
      <c r="J111" s="3185"/>
      <c r="K111" s="3185"/>
      <c r="L111" s="3186"/>
      <c r="M111" s="3186"/>
      <c r="N111" s="3191">
        <f>SUM(N3:N110)</f>
        <v>12730.98000000002</v>
      </c>
      <c r="O111" s="3186"/>
      <c r="P111" s="3186"/>
      <c r="Q111" s="3186"/>
      <c r="R111" s="3186"/>
      <c r="S111" s="3186"/>
      <c r="T111" s="3186"/>
      <c r="U111" s="3186"/>
      <c r="V111" s="3186"/>
      <c r="W111" s="3186"/>
      <c r="X111" s="3186"/>
      <c r="Y111" s="3186"/>
      <c r="Z111" s="3186"/>
      <c r="AA111" s="3186"/>
      <c r="AB111" s="3186"/>
      <c r="AC111" s="3187"/>
      <c r="AD111" s="3187"/>
      <c r="AE111" s="3187"/>
      <c r="AF111" s="3187"/>
      <c r="AG111" s="3187"/>
      <c r="AH111" s="3188"/>
      <c r="AI111" s="3188"/>
      <c r="AJ111" s="3187"/>
      <c r="AK111" s="3188"/>
      <c r="AL111" s="3187"/>
      <c r="AM111" s="3188"/>
      <c r="AN111" s="3188"/>
      <c r="AO111" s="3188"/>
      <c r="AP111" s="3188"/>
      <c r="AQ111" s="3188"/>
      <c r="AR111" s="3188"/>
      <c r="AS111" s="3188"/>
      <c r="AT111" s="3188"/>
    </row>
  </sheetData>
  <phoneticPr fontId="135"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3"/>
  <sheetViews>
    <sheetView showGridLines="0" topLeftCell="A6" workbookViewId="0">
      <pane ySplit="2" topLeftCell="A357" activePane="bottomLeft" state="frozenSplit"/>
      <selection pane="bottomLeft" activeCell="V14" sqref="V14"/>
    </sheetView>
  </sheetViews>
  <sheetFormatPr defaultRowHeight="12.75"/>
  <cols>
    <col min="1" max="1" width="5.875" style="3147" customWidth="1"/>
    <col min="2" max="2" width="12.125" style="3147" customWidth="1"/>
    <col min="3" max="3" width="9" style="3147" customWidth="1"/>
    <col min="4" max="4" width="11.125" style="3147" customWidth="1"/>
    <col min="5" max="5" width="6.625" style="3147" customWidth="1"/>
    <col min="6" max="6" width="8.5" style="3147" customWidth="1"/>
    <col min="7" max="7" width="8.125" style="3147" customWidth="1"/>
    <col min="8" max="8" width="7.75" style="3147" customWidth="1"/>
    <col min="9" max="9" width="8.375" style="3147" customWidth="1"/>
    <col min="10" max="10" width="11" style="3147" customWidth="1"/>
    <col min="11" max="11" width="8.5" style="3147" customWidth="1"/>
    <col min="12" max="12" width="9.875" style="3147" hidden="1" customWidth="1"/>
    <col min="13" max="13" width="9.625" style="3147" hidden="1" customWidth="1"/>
    <col min="14" max="14" width="13.75" style="3159" customWidth="1"/>
    <col min="15" max="15" width="14.375" style="3147" customWidth="1"/>
    <col min="16" max="20" width="14.125" style="3147" customWidth="1"/>
    <col min="21" max="21" width="18.875" style="3147" customWidth="1"/>
    <col min="22" max="24" width="14.125" style="3147" customWidth="1"/>
    <col min="25" max="26" width="14.5" style="3147" customWidth="1"/>
    <col min="27" max="27" width="13.375" style="3147" customWidth="1"/>
    <col min="28" max="37" width="14.125" style="3147" customWidth="1"/>
    <col min="38" max="38" width="13.5" style="3147" customWidth="1"/>
    <col min="39" max="46" width="11.75" style="3147" customWidth="1"/>
    <col min="47" max="47" width="0" style="3147" hidden="1" customWidth="1"/>
    <col min="48" max="256" width="9" style="3147"/>
    <col min="257" max="257" width="7" style="3147" customWidth="1"/>
    <col min="258" max="280" width="14.125" style="3147" customWidth="1"/>
    <col min="281" max="282" width="14.5" style="3147" customWidth="1"/>
    <col min="283" max="283" width="13.375" style="3147" customWidth="1"/>
    <col min="284" max="293" width="14.125" style="3147" customWidth="1"/>
    <col min="294" max="294" width="13.5" style="3147" customWidth="1"/>
    <col min="295" max="302" width="11.75" style="3147" customWidth="1"/>
    <col min="303" max="303" width="0" style="3147" hidden="1" customWidth="1"/>
    <col min="304" max="512" width="9" style="3147"/>
    <col min="513" max="513" width="7" style="3147" customWidth="1"/>
    <col min="514" max="536" width="14.125" style="3147" customWidth="1"/>
    <col min="537" max="538" width="14.5" style="3147" customWidth="1"/>
    <col min="539" max="539" width="13.375" style="3147" customWidth="1"/>
    <col min="540" max="549" width="14.125" style="3147" customWidth="1"/>
    <col min="550" max="550" width="13.5" style="3147" customWidth="1"/>
    <col min="551" max="558" width="11.75" style="3147" customWidth="1"/>
    <col min="559" max="559" width="0" style="3147" hidden="1" customWidth="1"/>
    <col min="560" max="768" width="9" style="3147"/>
    <col min="769" max="769" width="7" style="3147" customWidth="1"/>
    <col min="770" max="792" width="14.125" style="3147" customWidth="1"/>
    <col min="793" max="794" width="14.5" style="3147" customWidth="1"/>
    <col min="795" max="795" width="13.375" style="3147" customWidth="1"/>
    <col min="796" max="805" width="14.125" style="3147" customWidth="1"/>
    <col min="806" max="806" width="13.5" style="3147" customWidth="1"/>
    <col min="807" max="814" width="11.75" style="3147" customWidth="1"/>
    <col min="815" max="815" width="0" style="3147" hidden="1" customWidth="1"/>
    <col min="816" max="1024" width="9" style="3147"/>
    <col min="1025" max="1025" width="7" style="3147" customWidth="1"/>
    <col min="1026" max="1048" width="14.125" style="3147" customWidth="1"/>
    <col min="1049" max="1050" width="14.5" style="3147" customWidth="1"/>
    <col min="1051" max="1051" width="13.375" style="3147" customWidth="1"/>
    <col min="1052" max="1061" width="14.125" style="3147" customWidth="1"/>
    <col min="1062" max="1062" width="13.5" style="3147" customWidth="1"/>
    <col min="1063" max="1070" width="11.75" style="3147" customWidth="1"/>
    <col min="1071" max="1071" width="0" style="3147" hidden="1" customWidth="1"/>
    <col min="1072" max="1280" width="9" style="3147"/>
    <col min="1281" max="1281" width="7" style="3147" customWidth="1"/>
    <col min="1282" max="1304" width="14.125" style="3147" customWidth="1"/>
    <col min="1305" max="1306" width="14.5" style="3147" customWidth="1"/>
    <col min="1307" max="1307" width="13.375" style="3147" customWidth="1"/>
    <col min="1308" max="1317" width="14.125" style="3147" customWidth="1"/>
    <col min="1318" max="1318" width="13.5" style="3147" customWidth="1"/>
    <col min="1319" max="1326" width="11.75" style="3147" customWidth="1"/>
    <col min="1327" max="1327" width="0" style="3147" hidden="1" customWidth="1"/>
    <col min="1328" max="1536" width="9" style="3147"/>
    <col min="1537" max="1537" width="7" style="3147" customWidth="1"/>
    <col min="1538" max="1560" width="14.125" style="3147" customWidth="1"/>
    <col min="1561" max="1562" width="14.5" style="3147" customWidth="1"/>
    <col min="1563" max="1563" width="13.375" style="3147" customWidth="1"/>
    <col min="1564" max="1573" width="14.125" style="3147" customWidth="1"/>
    <col min="1574" max="1574" width="13.5" style="3147" customWidth="1"/>
    <col min="1575" max="1582" width="11.75" style="3147" customWidth="1"/>
    <col min="1583" max="1583" width="0" style="3147" hidden="1" customWidth="1"/>
    <col min="1584" max="1792" width="9" style="3147"/>
    <col min="1793" max="1793" width="7" style="3147" customWidth="1"/>
    <col min="1794" max="1816" width="14.125" style="3147" customWidth="1"/>
    <col min="1817" max="1818" width="14.5" style="3147" customWidth="1"/>
    <col min="1819" max="1819" width="13.375" style="3147" customWidth="1"/>
    <col min="1820" max="1829" width="14.125" style="3147" customWidth="1"/>
    <col min="1830" max="1830" width="13.5" style="3147" customWidth="1"/>
    <col min="1831" max="1838" width="11.75" style="3147" customWidth="1"/>
    <col min="1839" max="1839" width="0" style="3147" hidden="1" customWidth="1"/>
    <col min="1840" max="2048" width="9" style="3147"/>
    <col min="2049" max="2049" width="7" style="3147" customWidth="1"/>
    <col min="2050" max="2072" width="14.125" style="3147" customWidth="1"/>
    <col min="2073" max="2074" width="14.5" style="3147" customWidth="1"/>
    <col min="2075" max="2075" width="13.375" style="3147" customWidth="1"/>
    <col min="2076" max="2085" width="14.125" style="3147" customWidth="1"/>
    <col min="2086" max="2086" width="13.5" style="3147" customWidth="1"/>
    <col min="2087" max="2094" width="11.75" style="3147" customWidth="1"/>
    <col min="2095" max="2095" width="0" style="3147" hidden="1" customWidth="1"/>
    <col min="2096" max="2304" width="9" style="3147"/>
    <col min="2305" max="2305" width="7" style="3147" customWidth="1"/>
    <col min="2306" max="2328" width="14.125" style="3147" customWidth="1"/>
    <col min="2329" max="2330" width="14.5" style="3147" customWidth="1"/>
    <col min="2331" max="2331" width="13.375" style="3147" customWidth="1"/>
    <col min="2332" max="2341" width="14.125" style="3147" customWidth="1"/>
    <col min="2342" max="2342" width="13.5" style="3147" customWidth="1"/>
    <col min="2343" max="2350" width="11.75" style="3147" customWidth="1"/>
    <col min="2351" max="2351" width="0" style="3147" hidden="1" customWidth="1"/>
    <col min="2352" max="2560" width="9" style="3147"/>
    <col min="2561" max="2561" width="7" style="3147" customWidth="1"/>
    <col min="2562" max="2584" width="14.125" style="3147" customWidth="1"/>
    <col min="2585" max="2586" width="14.5" style="3147" customWidth="1"/>
    <col min="2587" max="2587" width="13.375" style="3147" customWidth="1"/>
    <col min="2588" max="2597" width="14.125" style="3147" customWidth="1"/>
    <col min="2598" max="2598" width="13.5" style="3147" customWidth="1"/>
    <col min="2599" max="2606" width="11.75" style="3147" customWidth="1"/>
    <col min="2607" max="2607" width="0" style="3147" hidden="1" customWidth="1"/>
    <col min="2608" max="2816" width="9" style="3147"/>
    <col min="2817" max="2817" width="7" style="3147" customWidth="1"/>
    <col min="2818" max="2840" width="14.125" style="3147" customWidth="1"/>
    <col min="2841" max="2842" width="14.5" style="3147" customWidth="1"/>
    <col min="2843" max="2843" width="13.375" style="3147" customWidth="1"/>
    <col min="2844" max="2853" width="14.125" style="3147" customWidth="1"/>
    <col min="2854" max="2854" width="13.5" style="3147" customWidth="1"/>
    <col min="2855" max="2862" width="11.75" style="3147" customWidth="1"/>
    <col min="2863" max="2863" width="0" style="3147" hidden="1" customWidth="1"/>
    <col min="2864" max="3072" width="9" style="3147"/>
    <col min="3073" max="3073" width="7" style="3147" customWidth="1"/>
    <col min="3074" max="3096" width="14.125" style="3147" customWidth="1"/>
    <col min="3097" max="3098" width="14.5" style="3147" customWidth="1"/>
    <col min="3099" max="3099" width="13.375" style="3147" customWidth="1"/>
    <col min="3100" max="3109" width="14.125" style="3147" customWidth="1"/>
    <col min="3110" max="3110" width="13.5" style="3147" customWidth="1"/>
    <col min="3111" max="3118" width="11.75" style="3147" customWidth="1"/>
    <col min="3119" max="3119" width="0" style="3147" hidden="1" customWidth="1"/>
    <col min="3120" max="3328" width="9" style="3147"/>
    <col min="3329" max="3329" width="7" style="3147" customWidth="1"/>
    <col min="3330" max="3352" width="14.125" style="3147" customWidth="1"/>
    <col min="3353" max="3354" width="14.5" style="3147" customWidth="1"/>
    <col min="3355" max="3355" width="13.375" style="3147" customWidth="1"/>
    <col min="3356" max="3365" width="14.125" style="3147" customWidth="1"/>
    <col min="3366" max="3366" width="13.5" style="3147" customWidth="1"/>
    <col min="3367" max="3374" width="11.75" style="3147" customWidth="1"/>
    <col min="3375" max="3375" width="0" style="3147" hidden="1" customWidth="1"/>
    <col min="3376" max="3584" width="9" style="3147"/>
    <col min="3585" max="3585" width="7" style="3147" customWidth="1"/>
    <col min="3586" max="3608" width="14.125" style="3147" customWidth="1"/>
    <col min="3609" max="3610" width="14.5" style="3147" customWidth="1"/>
    <col min="3611" max="3611" width="13.375" style="3147" customWidth="1"/>
    <col min="3612" max="3621" width="14.125" style="3147" customWidth="1"/>
    <col min="3622" max="3622" width="13.5" style="3147" customWidth="1"/>
    <col min="3623" max="3630" width="11.75" style="3147" customWidth="1"/>
    <col min="3631" max="3631" width="0" style="3147" hidden="1" customWidth="1"/>
    <col min="3632" max="3840" width="9" style="3147"/>
    <col min="3841" max="3841" width="7" style="3147" customWidth="1"/>
    <col min="3842" max="3864" width="14.125" style="3147" customWidth="1"/>
    <col min="3865" max="3866" width="14.5" style="3147" customWidth="1"/>
    <col min="3867" max="3867" width="13.375" style="3147" customWidth="1"/>
    <col min="3868" max="3877" width="14.125" style="3147" customWidth="1"/>
    <col min="3878" max="3878" width="13.5" style="3147" customWidth="1"/>
    <col min="3879" max="3886" width="11.75" style="3147" customWidth="1"/>
    <col min="3887" max="3887" width="0" style="3147" hidden="1" customWidth="1"/>
    <col min="3888" max="4096" width="9" style="3147"/>
    <col min="4097" max="4097" width="7" style="3147" customWidth="1"/>
    <col min="4098" max="4120" width="14.125" style="3147" customWidth="1"/>
    <col min="4121" max="4122" width="14.5" style="3147" customWidth="1"/>
    <col min="4123" max="4123" width="13.375" style="3147" customWidth="1"/>
    <col min="4124" max="4133" width="14.125" style="3147" customWidth="1"/>
    <col min="4134" max="4134" width="13.5" style="3147" customWidth="1"/>
    <col min="4135" max="4142" width="11.75" style="3147" customWidth="1"/>
    <col min="4143" max="4143" width="0" style="3147" hidden="1" customWidth="1"/>
    <col min="4144" max="4352" width="9" style="3147"/>
    <col min="4353" max="4353" width="7" style="3147" customWidth="1"/>
    <col min="4354" max="4376" width="14.125" style="3147" customWidth="1"/>
    <col min="4377" max="4378" width="14.5" style="3147" customWidth="1"/>
    <col min="4379" max="4379" width="13.375" style="3147" customWidth="1"/>
    <col min="4380" max="4389" width="14.125" style="3147" customWidth="1"/>
    <col min="4390" max="4390" width="13.5" style="3147" customWidth="1"/>
    <col min="4391" max="4398" width="11.75" style="3147" customWidth="1"/>
    <col min="4399" max="4399" width="0" style="3147" hidden="1" customWidth="1"/>
    <col min="4400" max="4608" width="9" style="3147"/>
    <col min="4609" max="4609" width="7" style="3147" customWidth="1"/>
    <col min="4610" max="4632" width="14.125" style="3147" customWidth="1"/>
    <col min="4633" max="4634" width="14.5" style="3147" customWidth="1"/>
    <col min="4635" max="4635" width="13.375" style="3147" customWidth="1"/>
    <col min="4636" max="4645" width="14.125" style="3147" customWidth="1"/>
    <col min="4646" max="4646" width="13.5" style="3147" customWidth="1"/>
    <col min="4647" max="4654" width="11.75" style="3147" customWidth="1"/>
    <col min="4655" max="4655" width="0" style="3147" hidden="1" customWidth="1"/>
    <col min="4656" max="4864" width="9" style="3147"/>
    <col min="4865" max="4865" width="7" style="3147" customWidth="1"/>
    <col min="4866" max="4888" width="14.125" style="3147" customWidth="1"/>
    <col min="4889" max="4890" width="14.5" style="3147" customWidth="1"/>
    <col min="4891" max="4891" width="13.375" style="3147" customWidth="1"/>
    <col min="4892" max="4901" width="14.125" style="3147" customWidth="1"/>
    <col min="4902" max="4902" width="13.5" style="3147" customWidth="1"/>
    <col min="4903" max="4910" width="11.75" style="3147" customWidth="1"/>
    <col min="4911" max="4911" width="0" style="3147" hidden="1" customWidth="1"/>
    <col min="4912" max="5120" width="9" style="3147"/>
    <col min="5121" max="5121" width="7" style="3147" customWidth="1"/>
    <col min="5122" max="5144" width="14.125" style="3147" customWidth="1"/>
    <col min="5145" max="5146" width="14.5" style="3147" customWidth="1"/>
    <col min="5147" max="5147" width="13.375" style="3147" customWidth="1"/>
    <col min="5148" max="5157" width="14.125" style="3147" customWidth="1"/>
    <col min="5158" max="5158" width="13.5" style="3147" customWidth="1"/>
    <col min="5159" max="5166" width="11.75" style="3147" customWidth="1"/>
    <col min="5167" max="5167" width="0" style="3147" hidden="1" customWidth="1"/>
    <col min="5168" max="5376" width="9" style="3147"/>
    <col min="5377" max="5377" width="7" style="3147" customWidth="1"/>
    <col min="5378" max="5400" width="14.125" style="3147" customWidth="1"/>
    <col min="5401" max="5402" width="14.5" style="3147" customWidth="1"/>
    <col min="5403" max="5403" width="13.375" style="3147" customWidth="1"/>
    <col min="5404" max="5413" width="14.125" style="3147" customWidth="1"/>
    <col min="5414" max="5414" width="13.5" style="3147" customWidth="1"/>
    <col min="5415" max="5422" width="11.75" style="3147" customWidth="1"/>
    <col min="5423" max="5423" width="0" style="3147" hidden="1" customWidth="1"/>
    <col min="5424" max="5632" width="9" style="3147"/>
    <col min="5633" max="5633" width="7" style="3147" customWidth="1"/>
    <col min="5634" max="5656" width="14.125" style="3147" customWidth="1"/>
    <col min="5657" max="5658" width="14.5" style="3147" customWidth="1"/>
    <col min="5659" max="5659" width="13.375" style="3147" customWidth="1"/>
    <col min="5660" max="5669" width="14.125" style="3147" customWidth="1"/>
    <col min="5670" max="5670" width="13.5" style="3147" customWidth="1"/>
    <col min="5671" max="5678" width="11.75" style="3147" customWidth="1"/>
    <col min="5679" max="5679" width="0" style="3147" hidden="1" customWidth="1"/>
    <col min="5680" max="5888" width="9" style="3147"/>
    <col min="5889" max="5889" width="7" style="3147" customWidth="1"/>
    <col min="5890" max="5912" width="14.125" style="3147" customWidth="1"/>
    <col min="5913" max="5914" width="14.5" style="3147" customWidth="1"/>
    <col min="5915" max="5915" width="13.375" style="3147" customWidth="1"/>
    <col min="5916" max="5925" width="14.125" style="3147" customWidth="1"/>
    <col min="5926" max="5926" width="13.5" style="3147" customWidth="1"/>
    <col min="5927" max="5934" width="11.75" style="3147" customWidth="1"/>
    <col min="5935" max="5935" width="0" style="3147" hidden="1" customWidth="1"/>
    <col min="5936" max="6144" width="9" style="3147"/>
    <col min="6145" max="6145" width="7" style="3147" customWidth="1"/>
    <col min="6146" max="6168" width="14.125" style="3147" customWidth="1"/>
    <col min="6169" max="6170" width="14.5" style="3147" customWidth="1"/>
    <col min="6171" max="6171" width="13.375" style="3147" customWidth="1"/>
    <col min="6172" max="6181" width="14.125" style="3147" customWidth="1"/>
    <col min="6182" max="6182" width="13.5" style="3147" customWidth="1"/>
    <col min="6183" max="6190" width="11.75" style="3147" customWidth="1"/>
    <col min="6191" max="6191" width="0" style="3147" hidden="1" customWidth="1"/>
    <col min="6192" max="6400" width="9" style="3147"/>
    <col min="6401" max="6401" width="7" style="3147" customWidth="1"/>
    <col min="6402" max="6424" width="14.125" style="3147" customWidth="1"/>
    <col min="6425" max="6426" width="14.5" style="3147" customWidth="1"/>
    <col min="6427" max="6427" width="13.375" style="3147" customWidth="1"/>
    <col min="6428" max="6437" width="14.125" style="3147" customWidth="1"/>
    <col min="6438" max="6438" width="13.5" style="3147" customWidth="1"/>
    <col min="6439" max="6446" width="11.75" style="3147" customWidth="1"/>
    <col min="6447" max="6447" width="0" style="3147" hidden="1" customWidth="1"/>
    <col min="6448" max="6656" width="9" style="3147"/>
    <col min="6657" max="6657" width="7" style="3147" customWidth="1"/>
    <col min="6658" max="6680" width="14.125" style="3147" customWidth="1"/>
    <col min="6681" max="6682" width="14.5" style="3147" customWidth="1"/>
    <col min="6683" max="6683" width="13.375" style="3147" customWidth="1"/>
    <col min="6684" max="6693" width="14.125" style="3147" customWidth="1"/>
    <col min="6694" max="6694" width="13.5" style="3147" customWidth="1"/>
    <col min="6695" max="6702" width="11.75" style="3147" customWidth="1"/>
    <col min="6703" max="6703" width="0" style="3147" hidden="1" customWidth="1"/>
    <col min="6704" max="6912" width="9" style="3147"/>
    <col min="6913" max="6913" width="7" style="3147" customWidth="1"/>
    <col min="6914" max="6936" width="14.125" style="3147" customWidth="1"/>
    <col min="6937" max="6938" width="14.5" style="3147" customWidth="1"/>
    <col min="6939" max="6939" width="13.375" style="3147" customWidth="1"/>
    <col min="6940" max="6949" width="14.125" style="3147" customWidth="1"/>
    <col min="6950" max="6950" width="13.5" style="3147" customWidth="1"/>
    <col min="6951" max="6958" width="11.75" style="3147" customWidth="1"/>
    <col min="6959" max="6959" width="0" style="3147" hidden="1" customWidth="1"/>
    <col min="6960" max="7168" width="9" style="3147"/>
    <col min="7169" max="7169" width="7" style="3147" customWidth="1"/>
    <col min="7170" max="7192" width="14.125" style="3147" customWidth="1"/>
    <col min="7193" max="7194" width="14.5" style="3147" customWidth="1"/>
    <col min="7195" max="7195" width="13.375" style="3147" customWidth="1"/>
    <col min="7196" max="7205" width="14.125" style="3147" customWidth="1"/>
    <col min="7206" max="7206" width="13.5" style="3147" customWidth="1"/>
    <col min="7207" max="7214" width="11.75" style="3147" customWidth="1"/>
    <col min="7215" max="7215" width="0" style="3147" hidden="1" customWidth="1"/>
    <col min="7216" max="7424" width="9" style="3147"/>
    <col min="7425" max="7425" width="7" style="3147" customWidth="1"/>
    <col min="7426" max="7448" width="14.125" style="3147" customWidth="1"/>
    <col min="7449" max="7450" width="14.5" style="3147" customWidth="1"/>
    <col min="7451" max="7451" width="13.375" style="3147" customWidth="1"/>
    <col min="7452" max="7461" width="14.125" style="3147" customWidth="1"/>
    <col min="7462" max="7462" width="13.5" style="3147" customWidth="1"/>
    <col min="7463" max="7470" width="11.75" style="3147" customWidth="1"/>
    <col min="7471" max="7471" width="0" style="3147" hidden="1" customWidth="1"/>
    <col min="7472" max="7680" width="9" style="3147"/>
    <col min="7681" max="7681" width="7" style="3147" customWidth="1"/>
    <col min="7682" max="7704" width="14.125" style="3147" customWidth="1"/>
    <col min="7705" max="7706" width="14.5" style="3147" customWidth="1"/>
    <col min="7707" max="7707" width="13.375" style="3147" customWidth="1"/>
    <col min="7708" max="7717" width="14.125" style="3147" customWidth="1"/>
    <col min="7718" max="7718" width="13.5" style="3147" customWidth="1"/>
    <col min="7719" max="7726" width="11.75" style="3147" customWidth="1"/>
    <col min="7727" max="7727" width="0" style="3147" hidden="1" customWidth="1"/>
    <col min="7728" max="7936" width="9" style="3147"/>
    <col min="7937" max="7937" width="7" style="3147" customWidth="1"/>
    <col min="7938" max="7960" width="14.125" style="3147" customWidth="1"/>
    <col min="7961" max="7962" width="14.5" style="3147" customWidth="1"/>
    <col min="7963" max="7963" width="13.375" style="3147" customWidth="1"/>
    <col min="7964" max="7973" width="14.125" style="3147" customWidth="1"/>
    <col min="7974" max="7974" width="13.5" style="3147" customWidth="1"/>
    <col min="7975" max="7982" width="11.75" style="3147" customWidth="1"/>
    <col min="7983" max="7983" width="0" style="3147" hidden="1" customWidth="1"/>
    <col min="7984" max="8192" width="9" style="3147"/>
    <col min="8193" max="8193" width="7" style="3147" customWidth="1"/>
    <col min="8194" max="8216" width="14.125" style="3147" customWidth="1"/>
    <col min="8217" max="8218" width="14.5" style="3147" customWidth="1"/>
    <col min="8219" max="8219" width="13.375" style="3147" customWidth="1"/>
    <col min="8220" max="8229" width="14.125" style="3147" customWidth="1"/>
    <col min="8230" max="8230" width="13.5" style="3147" customWidth="1"/>
    <col min="8231" max="8238" width="11.75" style="3147" customWidth="1"/>
    <col min="8239" max="8239" width="0" style="3147" hidden="1" customWidth="1"/>
    <col min="8240" max="8448" width="9" style="3147"/>
    <col min="8449" max="8449" width="7" style="3147" customWidth="1"/>
    <col min="8450" max="8472" width="14.125" style="3147" customWidth="1"/>
    <col min="8473" max="8474" width="14.5" style="3147" customWidth="1"/>
    <col min="8475" max="8475" width="13.375" style="3147" customWidth="1"/>
    <col min="8476" max="8485" width="14.125" style="3147" customWidth="1"/>
    <col min="8486" max="8486" width="13.5" style="3147" customWidth="1"/>
    <col min="8487" max="8494" width="11.75" style="3147" customWidth="1"/>
    <col min="8495" max="8495" width="0" style="3147" hidden="1" customWidth="1"/>
    <col min="8496" max="8704" width="9" style="3147"/>
    <col min="8705" max="8705" width="7" style="3147" customWidth="1"/>
    <col min="8706" max="8728" width="14.125" style="3147" customWidth="1"/>
    <col min="8729" max="8730" width="14.5" style="3147" customWidth="1"/>
    <col min="8731" max="8731" width="13.375" style="3147" customWidth="1"/>
    <col min="8732" max="8741" width="14.125" style="3147" customWidth="1"/>
    <col min="8742" max="8742" width="13.5" style="3147" customWidth="1"/>
    <col min="8743" max="8750" width="11.75" style="3147" customWidth="1"/>
    <col min="8751" max="8751" width="0" style="3147" hidden="1" customWidth="1"/>
    <col min="8752" max="8960" width="9" style="3147"/>
    <col min="8961" max="8961" width="7" style="3147" customWidth="1"/>
    <col min="8962" max="8984" width="14.125" style="3147" customWidth="1"/>
    <col min="8985" max="8986" width="14.5" style="3147" customWidth="1"/>
    <col min="8987" max="8987" width="13.375" style="3147" customWidth="1"/>
    <col min="8988" max="8997" width="14.125" style="3147" customWidth="1"/>
    <col min="8998" max="8998" width="13.5" style="3147" customWidth="1"/>
    <col min="8999" max="9006" width="11.75" style="3147" customWidth="1"/>
    <col min="9007" max="9007" width="0" style="3147" hidden="1" customWidth="1"/>
    <col min="9008" max="9216" width="9" style="3147"/>
    <col min="9217" max="9217" width="7" style="3147" customWidth="1"/>
    <col min="9218" max="9240" width="14.125" style="3147" customWidth="1"/>
    <col min="9241" max="9242" width="14.5" style="3147" customWidth="1"/>
    <col min="9243" max="9243" width="13.375" style="3147" customWidth="1"/>
    <col min="9244" max="9253" width="14.125" style="3147" customWidth="1"/>
    <col min="9254" max="9254" width="13.5" style="3147" customWidth="1"/>
    <col min="9255" max="9262" width="11.75" style="3147" customWidth="1"/>
    <col min="9263" max="9263" width="0" style="3147" hidden="1" customWidth="1"/>
    <col min="9264" max="9472" width="9" style="3147"/>
    <col min="9473" max="9473" width="7" style="3147" customWidth="1"/>
    <col min="9474" max="9496" width="14.125" style="3147" customWidth="1"/>
    <col min="9497" max="9498" width="14.5" style="3147" customWidth="1"/>
    <col min="9499" max="9499" width="13.375" style="3147" customWidth="1"/>
    <col min="9500" max="9509" width="14.125" style="3147" customWidth="1"/>
    <col min="9510" max="9510" width="13.5" style="3147" customWidth="1"/>
    <col min="9511" max="9518" width="11.75" style="3147" customWidth="1"/>
    <col min="9519" max="9519" width="0" style="3147" hidden="1" customWidth="1"/>
    <col min="9520" max="9728" width="9" style="3147"/>
    <col min="9729" max="9729" width="7" style="3147" customWidth="1"/>
    <col min="9730" max="9752" width="14.125" style="3147" customWidth="1"/>
    <col min="9753" max="9754" width="14.5" style="3147" customWidth="1"/>
    <col min="9755" max="9755" width="13.375" style="3147" customWidth="1"/>
    <col min="9756" max="9765" width="14.125" style="3147" customWidth="1"/>
    <col min="9766" max="9766" width="13.5" style="3147" customWidth="1"/>
    <col min="9767" max="9774" width="11.75" style="3147" customWidth="1"/>
    <col min="9775" max="9775" width="0" style="3147" hidden="1" customWidth="1"/>
    <col min="9776" max="9984" width="9" style="3147"/>
    <col min="9985" max="9985" width="7" style="3147" customWidth="1"/>
    <col min="9986" max="10008" width="14.125" style="3147" customWidth="1"/>
    <col min="10009" max="10010" width="14.5" style="3147" customWidth="1"/>
    <col min="10011" max="10011" width="13.375" style="3147" customWidth="1"/>
    <col min="10012" max="10021" width="14.125" style="3147" customWidth="1"/>
    <col min="10022" max="10022" width="13.5" style="3147" customWidth="1"/>
    <col min="10023" max="10030" width="11.75" style="3147" customWidth="1"/>
    <col min="10031" max="10031" width="0" style="3147" hidden="1" customWidth="1"/>
    <col min="10032" max="10240" width="9" style="3147"/>
    <col min="10241" max="10241" width="7" style="3147" customWidth="1"/>
    <col min="10242" max="10264" width="14.125" style="3147" customWidth="1"/>
    <col min="10265" max="10266" width="14.5" style="3147" customWidth="1"/>
    <col min="10267" max="10267" width="13.375" style="3147" customWidth="1"/>
    <col min="10268" max="10277" width="14.125" style="3147" customWidth="1"/>
    <col min="10278" max="10278" width="13.5" style="3147" customWidth="1"/>
    <col min="10279" max="10286" width="11.75" style="3147" customWidth="1"/>
    <col min="10287" max="10287" width="0" style="3147" hidden="1" customWidth="1"/>
    <col min="10288" max="10496" width="9" style="3147"/>
    <col min="10497" max="10497" width="7" style="3147" customWidth="1"/>
    <col min="10498" max="10520" width="14.125" style="3147" customWidth="1"/>
    <col min="10521" max="10522" width="14.5" style="3147" customWidth="1"/>
    <col min="10523" max="10523" width="13.375" style="3147" customWidth="1"/>
    <col min="10524" max="10533" width="14.125" style="3147" customWidth="1"/>
    <col min="10534" max="10534" width="13.5" style="3147" customWidth="1"/>
    <col min="10535" max="10542" width="11.75" style="3147" customWidth="1"/>
    <col min="10543" max="10543" width="0" style="3147" hidden="1" customWidth="1"/>
    <col min="10544" max="10752" width="9" style="3147"/>
    <col min="10753" max="10753" width="7" style="3147" customWidth="1"/>
    <col min="10754" max="10776" width="14.125" style="3147" customWidth="1"/>
    <col min="10777" max="10778" width="14.5" style="3147" customWidth="1"/>
    <col min="10779" max="10779" width="13.375" style="3147" customWidth="1"/>
    <col min="10780" max="10789" width="14.125" style="3147" customWidth="1"/>
    <col min="10790" max="10790" width="13.5" style="3147" customWidth="1"/>
    <col min="10791" max="10798" width="11.75" style="3147" customWidth="1"/>
    <col min="10799" max="10799" width="0" style="3147" hidden="1" customWidth="1"/>
    <col min="10800" max="11008" width="9" style="3147"/>
    <col min="11009" max="11009" width="7" style="3147" customWidth="1"/>
    <col min="11010" max="11032" width="14.125" style="3147" customWidth="1"/>
    <col min="11033" max="11034" width="14.5" style="3147" customWidth="1"/>
    <col min="11035" max="11035" width="13.375" style="3147" customWidth="1"/>
    <col min="11036" max="11045" width="14.125" style="3147" customWidth="1"/>
    <col min="11046" max="11046" width="13.5" style="3147" customWidth="1"/>
    <col min="11047" max="11054" width="11.75" style="3147" customWidth="1"/>
    <col min="11055" max="11055" width="0" style="3147" hidden="1" customWidth="1"/>
    <col min="11056" max="11264" width="9" style="3147"/>
    <col min="11265" max="11265" width="7" style="3147" customWidth="1"/>
    <col min="11266" max="11288" width="14.125" style="3147" customWidth="1"/>
    <col min="11289" max="11290" width="14.5" style="3147" customWidth="1"/>
    <col min="11291" max="11291" width="13.375" style="3147" customWidth="1"/>
    <col min="11292" max="11301" width="14.125" style="3147" customWidth="1"/>
    <col min="11302" max="11302" width="13.5" style="3147" customWidth="1"/>
    <col min="11303" max="11310" width="11.75" style="3147" customWidth="1"/>
    <col min="11311" max="11311" width="0" style="3147" hidden="1" customWidth="1"/>
    <col min="11312" max="11520" width="9" style="3147"/>
    <col min="11521" max="11521" width="7" style="3147" customWidth="1"/>
    <col min="11522" max="11544" width="14.125" style="3147" customWidth="1"/>
    <col min="11545" max="11546" width="14.5" style="3147" customWidth="1"/>
    <col min="11547" max="11547" width="13.375" style="3147" customWidth="1"/>
    <col min="11548" max="11557" width="14.125" style="3147" customWidth="1"/>
    <col min="11558" max="11558" width="13.5" style="3147" customWidth="1"/>
    <col min="11559" max="11566" width="11.75" style="3147" customWidth="1"/>
    <col min="11567" max="11567" width="0" style="3147" hidden="1" customWidth="1"/>
    <col min="11568" max="11776" width="9" style="3147"/>
    <col min="11777" max="11777" width="7" style="3147" customWidth="1"/>
    <col min="11778" max="11800" width="14.125" style="3147" customWidth="1"/>
    <col min="11801" max="11802" width="14.5" style="3147" customWidth="1"/>
    <col min="11803" max="11803" width="13.375" style="3147" customWidth="1"/>
    <col min="11804" max="11813" width="14.125" style="3147" customWidth="1"/>
    <col min="11814" max="11814" width="13.5" style="3147" customWidth="1"/>
    <col min="11815" max="11822" width="11.75" style="3147" customWidth="1"/>
    <col min="11823" max="11823" width="0" style="3147" hidden="1" customWidth="1"/>
    <col min="11824" max="12032" width="9" style="3147"/>
    <col min="12033" max="12033" width="7" style="3147" customWidth="1"/>
    <col min="12034" max="12056" width="14.125" style="3147" customWidth="1"/>
    <col min="12057" max="12058" width="14.5" style="3147" customWidth="1"/>
    <col min="12059" max="12059" width="13.375" style="3147" customWidth="1"/>
    <col min="12060" max="12069" width="14.125" style="3147" customWidth="1"/>
    <col min="12070" max="12070" width="13.5" style="3147" customWidth="1"/>
    <col min="12071" max="12078" width="11.75" style="3147" customWidth="1"/>
    <col min="12079" max="12079" width="0" style="3147" hidden="1" customWidth="1"/>
    <col min="12080" max="12288" width="9" style="3147"/>
    <col min="12289" max="12289" width="7" style="3147" customWidth="1"/>
    <col min="12290" max="12312" width="14.125" style="3147" customWidth="1"/>
    <col min="12313" max="12314" width="14.5" style="3147" customWidth="1"/>
    <col min="12315" max="12315" width="13.375" style="3147" customWidth="1"/>
    <col min="12316" max="12325" width="14.125" style="3147" customWidth="1"/>
    <col min="12326" max="12326" width="13.5" style="3147" customWidth="1"/>
    <col min="12327" max="12334" width="11.75" style="3147" customWidth="1"/>
    <col min="12335" max="12335" width="0" style="3147" hidden="1" customWidth="1"/>
    <col min="12336" max="12544" width="9" style="3147"/>
    <col min="12545" max="12545" width="7" style="3147" customWidth="1"/>
    <col min="12546" max="12568" width="14.125" style="3147" customWidth="1"/>
    <col min="12569" max="12570" width="14.5" style="3147" customWidth="1"/>
    <col min="12571" max="12571" width="13.375" style="3147" customWidth="1"/>
    <col min="12572" max="12581" width="14.125" style="3147" customWidth="1"/>
    <col min="12582" max="12582" width="13.5" style="3147" customWidth="1"/>
    <col min="12583" max="12590" width="11.75" style="3147" customWidth="1"/>
    <col min="12591" max="12591" width="0" style="3147" hidden="1" customWidth="1"/>
    <col min="12592" max="12800" width="9" style="3147"/>
    <col min="12801" max="12801" width="7" style="3147" customWidth="1"/>
    <col min="12802" max="12824" width="14.125" style="3147" customWidth="1"/>
    <col min="12825" max="12826" width="14.5" style="3147" customWidth="1"/>
    <col min="12827" max="12827" width="13.375" style="3147" customWidth="1"/>
    <col min="12828" max="12837" width="14.125" style="3147" customWidth="1"/>
    <col min="12838" max="12838" width="13.5" style="3147" customWidth="1"/>
    <col min="12839" max="12846" width="11.75" style="3147" customWidth="1"/>
    <col min="12847" max="12847" width="0" style="3147" hidden="1" customWidth="1"/>
    <col min="12848" max="13056" width="9" style="3147"/>
    <col min="13057" max="13057" width="7" style="3147" customWidth="1"/>
    <col min="13058" max="13080" width="14.125" style="3147" customWidth="1"/>
    <col min="13081" max="13082" width="14.5" style="3147" customWidth="1"/>
    <col min="13083" max="13083" width="13.375" style="3147" customWidth="1"/>
    <col min="13084" max="13093" width="14.125" style="3147" customWidth="1"/>
    <col min="13094" max="13094" width="13.5" style="3147" customWidth="1"/>
    <col min="13095" max="13102" width="11.75" style="3147" customWidth="1"/>
    <col min="13103" max="13103" width="0" style="3147" hidden="1" customWidth="1"/>
    <col min="13104" max="13312" width="9" style="3147"/>
    <col min="13313" max="13313" width="7" style="3147" customWidth="1"/>
    <col min="13314" max="13336" width="14.125" style="3147" customWidth="1"/>
    <col min="13337" max="13338" width="14.5" style="3147" customWidth="1"/>
    <col min="13339" max="13339" width="13.375" style="3147" customWidth="1"/>
    <col min="13340" max="13349" width="14.125" style="3147" customWidth="1"/>
    <col min="13350" max="13350" width="13.5" style="3147" customWidth="1"/>
    <col min="13351" max="13358" width="11.75" style="3147" customWidth="1"/>
    <col min="13359" max="13359" width="0" style="3147" hidden="1" customWidth="1"/>
    <col min="13360" max="13568" width="9" style="3147"/>
    <col min="13569" max="13569" width="7" style="3147" customWidth="1"/>
    <col min="13570" max="13592" width="14.125" style="3147" customWidth="1"/>
    <col min="13593" max="13594" width="14.5" style="3147" customWidth="1"/>
    <col min="13595" max="13595" width="13.375" style="3147" customWidth="1"/>
    <col min="13596" max="13605" width="14.125" style="3147" customWidth="1"/>
    <col min="13606" max="13606" width="13.5" style="3147" customWidth="1"/>
    <col min="13607" max="13614" width="11.75" style="3147" customWidth="1"/>
    <col min="13615" max="13615" width="0" style="3147" hidden="1" customWidth="1"/>
    <col min="13616" max="13824" width="9" style="3147"/>
    <col min="13825" max="13825" width="7" style="3147" customWidth="1"/>
    <col min="13826" max="13848" width="14.125" style="3147" customWidth="1"/>
    <col min="13849" max="13850" width="14.5" style="3147" customWidth="1"/>
    <col min="13851" max="13851" width="13.375" style="3147" customWidth="1"/>
    <col min="13852" max="13861" width="14.125" style="3147" customWidth="1"/>
    <col min="13862" max="13862" width="13.5" style="3147" customWidth="1"/>
    <col min="13863" max="13870" width="11.75" style="3147" customWidth="1"/>
    <col min="13871" max="13871" width="0" style="3147" hidden="1" customWidth="1"/>
    <col min="13872" max="14080" width="9" style="3147"/>
    <col min="14081" max="14081" width="7" style="3147" customWidth="1"/>
    <col min="14082" max="14104" width="14.125" style="3147" customWidth="1"/>
    <col min="14105" max="14106" width="14.5" style="3147" customWidth="1"/>
    <col min="14107" max="14107" width="13.375" style="3147" customWidth="1"/>
    <col min="14108" max="14117" width="14.125" style="3147" customWidth="1"/>
    <col min="14118" max="14118" width="13.5" style="3147" customWidth="1"/>
    <col min="14119" max="14126" width="11.75" style="3147" customWidth="1"/>
    <col min="14127" max="14127" width="0" style="3147" hidden="1" customWidth="1"/>
    <col min="14128" max="14336" width="9" style="3147"/>
    <col min="14337" max="14337" width="7" style="3147" customWidth="1"/>
    <col min="14338" max="14360" width="14.125" style="3147" customWidth="1"/>
    <col min="14361" max="14362" width="14.5" style="3147" customWidth="1"/>
    <col min="14363" max="14363" width="13.375" style="3147" customWidth="1"/>
    <col min="14364" max="14373" width="14.125" style="3147" customWidth="1"/>
    <col min="14374" max="14374" width="13.5" style="3147" customWidth="1"/>
    <col min="14375" max="14382" width="11.75" style="3147" customWidth="1"/>
    <col min="14383" max="14383" width="0" style="3147" hidden="1" customWidth="1"/>
    <col min="14384" max="14592" width="9" style="3147"/>
    <col min="14593" max="14593" width="7" style="3147" customWidth="1"/>
    <col min="14594" max="14616" width="14.125" style="3147" customWidth="1"/>
    <col min="14617" max="14618" width="14.5" style="3147" customWidth="1"/>
    <col min="14619" max="14619" width="13.375" style="3147" customWidth="1"/>
    <col min="14620" max="14629" width="14.125" style="3147" customWidth="1"/>
    <col min="14630" max="14630" width="13.5" style="3147" customWidth="1"/>
    <col min="14631" max="14638" width="11.75" style="3147" customWidth="1"/>
    <col min="14639" max="14639" width="0" style="3147" hidden="1" customWidth="1"/>
    <col min="14640" max="14848" width="9" style="3147"/>
    <col min="14849" max="14849" width="7" style="3147" customWidth="1"/>
    <col min="14850" max="14872" width="14.125" style="3147" customWidth="1"/>
    <col min="14873" max="14874" width="14.5" style="3147" customWidth="1"/>
    <col min="14875" max="14875" width="13.375" style="3147" customWidth="1"/>
    <col min="14876" max="14885" width="14.125" style="3147" customWidth="1"/>
    <col min="14886" max="14886" width="13.5" style="3147" customWidth="1"/>
    <col min="14887" max="14894" width="11.75" style="3147" customWidth="1"/>
    <col min="14895" max="14895" width="0" style="3147" hidden="1" customWidth="1"/>
    <col min="14896" max="15104" width="9" style="3147"/>
    <col min="15105" max="15105" width="7" style="3147" customWidth="1"/>
    <col min="15106" max="15128" width="14.125" style="3147" customWidth="1"/>
    <col min="15129" max="15130" width="14.5" style="3147" customWidth="1"/>
    <col min="15131" max="15131" width="13.375" style="3147" customWidth="1"/>
    <col min="15132" max="15141" width="14.125" style="3147" customWidth="1"/>
    <col min="15142" max="15142" width="13.5" style="3147" customWidth="1"/>
    <col min="15143" max="15150" width="11.75" style="3147" customWidth="1"/>
    <col min="15151" max="15151" width="0" style="3147" hidden="1" customWidth="1"/>
    <col min="15152" max="15360" width="9" style="3147"/>
    <col min="15361" max="15361" width="7" style="3147" customWidth="1"/>
    <col min="15362" max="15384" width="14.125" style="3147" customWidth="1"/>
    <col min="15385" max="15386" width="14.5" style="3147" customWidth="1"/>
    <col min="15387" max="15387" width="13.375" style="3147" customWidth="1"/>
    <col min="15388" max="15397" width="14.125" style="3147" customWidth="1"/>
    <col min="15398" max="15398" width="13.5" style="3147" customWidth="1"/>
    <col min="15399" max="15406" width="11.75" style="3147" customWidth="1"/>
    <col min="15407" max="15407" width="0" style="3147" hidden="1" customWidth="1"/>
    <col min="15408" max="15616" width="9" style="3147"/>
    <col min="15617" max="15617" width="7" style="3147" customWidth="1"/>
    <col min="15618" max="15640" width="14.125" style="3147" customWidth="1"/>
    <col min="15641" max="15642" width="14.5" style="3147" customWidth="1"/>
    <col min="15643" max="15643" width="13.375" style="3147" customWidth="1"/>
    <col min="15644" max="15653" width="14.125" style="3147" customWidth="1"/>
    <col min="15654" max="15654" width="13.5" style="3147" customWidth="1"/>
    <col min="15655" max="15662" width="11.75" style="3147" customWidth="1"/>
    <col min="15663" max="15663" width="0" style="3147" hidden="1" customWidth="1"/>
    <col min="15664" max="15872" width="9" style="3147"/>
    <col min="15873" max="15873" width="7" style="3147" customWidth="1"/>
    <col min="15874" max="15896" width="14.125" style="3147" customWidth="1"/>
    <col min="15897" max="15898" width="14.5" style="3147" customWidth="1"/>
    <col min="15899" max="15899" width="13.375" style="3147" customWidth="1"/>
    <col min="15900" max="15909" width="14.125" style="3147" customWidth="1"/>
    <col min="15910" max="15910" width="13.5" style="3147" customWidth="1"/>
    <col min="15911" max="15918" width="11.75" style="3147" customWidth="1"/>
    <col min="15919" max="15919" width="0" style="3147" hidden="1" customWidth="1"/>
    <col min="15920" max="16128" width="9" style="3147"/>
    <col min="16129" max="16129" width="7" style="3147" customWidth="1"/>
    <col min="16130" max="16152" width="14.125" style="3147" customWidth="1"/>
    <col min="16153" max="16154" width="14.5" style="3147" customWidth="1"/>
    <col min="16155" max="16155" width="13.375" style="3147" customWidth="1"/>
    <col min="16156" max="16165" width="14.125" style="3147" customWidth="1"/>
    <col min="16166" max="16166" width="13.5" style="3147" customWidth="1"/>
    <col min="16167" max="16174" width="11.75" style="3147" customWidth="1"/>
    <col min="16175" max="16175" width="0" style="3147" hidden="1" customWidth="1"/>
    <col min="16176" max="16384" width="9" style="3147"/>
  </cols>
  <sheetData>
    <row r="1" spans="1:46" ht="28.35" customHeight="1"/>
    <row r="2" spans="1:46" ht="21.2" customHeight="1">
      <c r="A2" s="3345" t="s">
        <v>3439</v>
      </c>
      <c r="B2" s="3346"/>
      <c r="C2" s="3346"/>
      <c r="D2" s="3346"/>
      <c r="E2" s="3346"/>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c r="AK2" s="3346"/>
      <c r="AL2" s="3346"/>
      <c r="AM2" s="3346"/>
      <c r="AN2" s="3346"/>
      <c r="AO2" s="3346"/>
      <c r="AP2" s="3346"/>
      <c r="AQ2" s="3346"/>
      <c r="AR2" s="3346"/>
      <c r="AS2" s="3346"/>
      <c r="AT2" s="3346"/>
    </row>
    <row r="3" spans="1:46" ht="13.7" customHeight="1"/>
    <row r="4" spans="1:46" ht="18" customHeight="1">
      <c r="A4" s="3347" t="s">
        <v>3440</v>
      </c>
      <c r="B4" s="3346"/>
      <c r="C4" s="3346"/>
      <c r="D4" s="3346"/>
      <c r="E4" s="3346"/>
      <c r="F4" s="3346"/>
      <c r="G4" s="3346"/>
      <c r="H4" s="3346"/>
      <c r="I4" s="3346"/>
      <c r="J4" s="3346"/>
      <c r="K4" s="3346"/>
      <c r="L4" s="3346"/>
      <c r="M4" s="3346"/>
      <c r="N4" s="3346"/>
      <c r="O4" s="3346"/>
      <c r="P4" s="3346"/>
      <c r="Q4" s="3346"/>
      <c r="R4" s="3346"/>
      <c r="S4" s="3346"/>
      <c r="T4" s="3346"/>
      <c r="U4" s="3346"/>
      <c r="V4" s="3346"/>
      <c r="W4" s="3346"/>
      <c r="X4" s="3346"/>
      <c r="Y4" s="3346"/>
      <c r="Z4" s="3346"/>
      <c r="AA4" s="3346"/>
      <c r="AB4" s="3346"/>
      <c r="AC4" s="3346"/>
      <c r="AD4" s="3346"/>
      <c r="AE4" s="3346"/>
      <c r="AF4" s="3346"/>
      <c r="AG4" s="3346"/>
      <c r="AH4" s="3346"/>
      <c r="AI4" s="3346"/>
      <c r="AJ4" s="3346"/>
      <c r="AK4" s="3346"/>
      <c r="AL4" s="3346"/>
      <c r="AM4" s="3346"/>
      <c r="AN4" s="3346"/>
      <c r="AO4" s="3346"/>
      <c r="AP4" s="3346"/>
      <c r="AQ4" s="3346"/>
      <c r="AR4" s="3346"/>
      <c r="AS4" s="3346"/>
      <c r="AT4" s="3346"/>
    </row>
    <row r="5" spans="1:46" ht="409.6" hidden="1" customHeight="1"/>
    <row r="6" spans="1:46" ht="18" customHeight="1">
      <c r="A6" s="3347" t="s">
        <v>3441</v>
      </c>
      <c r="B6" s="3346"/>
      <c r="C6" s="3346"/>
      <c r="D6" s="3346"/>
      <c r="E6" s="3346"/>
      <c r="F6" s="3346"/>
      <c r="G6" s="3346"/>
      <c r="H6" s="3346"/>
      <c r="I6" s="3346"/>
      <c r="J6" s="3346"/>
      <c r="K6" s="3346"/>
      <c r="L6" s="3346"/>
      <c r="M6" s="3346"/>
      <c r="N6" s="3346"/>
      <c r="O6" s="3346"/>
      <c r="P6" s="3346"/>
      <c r="Q6" s="3346"/>
      <c r="R6" s="3346"/>
      <c r="S6" s="3346"/>
      <c r="T6" s="3346"/>
      <c r="U6" s="3346"/>
      <c r="V6" s="3346"/>
      <c r="W6" s="3346"/>
      <c r="X6" s="3346"/>
      <c r="Y6" s="3346"/>
      <c r="Z6" s="3346"/>
      <c r="AA6" s="3346"/>
      <c r="AB6" s="3346"/>
      <c r="AC6" s="3346"/>
      <c r="AD6" s="3346"/>
      <c r="AE6" s="3346"/>
      <c r="AF6" s="3346"/>
      <c r="AG6" s="3346"/>
      <c r="AH6" s="3346"/>
      <c r="AI6" s="3346"/>
      <c r="AJ6" s="3346"/>
      <c r="AK6" s="3346"/>
      <c r="AL6" s="3346"/>
      <c r="AM6" s="3346"/>
      <c r="AN6" s="3346"/>
      <c r="AO6" s="3346"/>
      <c r="AP6" s="3346"/>
      <c r="AQ6" s="3346"/>
      <c r="AR6" s="3346"/>
      <c r="AS6" s="3346"/>
      <c r="AT6" s="3346"/>
    </row>
    <row r="7" spans="1:46" ht="0.6" customHeight="1"/>
    <row r="8" spans="1:46" ht="22.5">
      <c r="A8" s="3148" t="s">
        <v>3442</v>
      </c>
      <c r="B8" s="3148" t="s">
        <v>3443</v>
      </c>
      <c r="C8" s="3148" t="s">
        <v>3444</v>
      </c>
      <c r="D8" s="3148" t="s">
        <v>3445</v>
      </c>
      <c r="E8" s="3148" t="s">
        <v>3446</v>
      </c>
      <c r="F8" s="3148" t="s">
        <v>3447</v>
      </c>
      <c r="G8" s="3148" t="s">
        <v>3448</v>
      </c>
      <c r="H8" s="3148" t="s">
        <v>3449</v>
      </c>
      <c r="I8" s="3148" t="s">
        <v>3450</v>
      </c>
      <c r="J8" s="3148" t="s">
        <v>3451</v>
      </c>
      <c r="K8" s="3148" t="s">
        <v>3452</v>
      </c>
      <c r="L8" s="3148" t="s">
        <v>3453</v>
      </c>
      <c r="M8" s="3148" t="s">
        <v>3454</v>
      </c>
      <c r="N8" s="3160" t="s">
        <v>3455</v>
      </c>
      <c r="O8" s="3148" t="s">
        <v>3456</v>
      </c>
      <c r="P8" s="3148" t="s">
        <v>3457</v>
      </c>
      <c r="Q8" s="3148" t="s">
        <v>3458</v>
      </c>
      <c r="R8" s="3148" t="s">
        <v>3459</v>
      </c>
      <c r="S8" s="3148" t="s">
        <v>3460</v>
      </c>
      <c r="T8" s="3148" t="s">
        <v>3461</v>
      </c>
      <c r="U8" s="3148" t="s">
        <v>3462</v>
      </c>
      <c r="V8" s="3148" t="s">
        <v>3463</v>
      </c>
      <c r="W8" s="3148" t="s">
        <v>3464</v>
      </c>
      <c r="X8" s="3148" t="s">
        <v>3465</v>
      </c>
      <c r="Y8" s="3148" t="s">
        <v>3466</v>
      </c>
      <c r="Z8" s="3148" t="s">
        <v>3467</v>
      </c>
      <c r="AA8" s="3148" t="s">
        <v>3468</v>
      </c>
      <c r="AB8" s="3148" t="s">
        <v>3469</v>
      </c>
      <c r="AC8" s="3148" t="s">
        <v>3470</v>
      </c>
      <c r="AD8" s="3148" t="s">
        <v>3471</v>
      </c>
      <c r="AE8" s="3148" t="s">
        <v>3472</v>
      </c>
      <c r="AF8" s="3148" t="s">
        <v>3473</v>
      </c>
      <c r="AG8" s="3148" t="s">
        <v>3474</v>
      </c>
      <c r="AH8" s="3148" t="s">
        <v>3475</v>
      </c>
      <c r="AI8" s="3148" t="s">
        <v>3476</v>
      </c>
      <c r="AJ8" s="3148" t="s">
        <v>3477</v>
      </c>
      <c r="AK8" s="3148" t="s">
        <v>3478</v>
      </c>
      <c r="AL8" s="3148" t="s">
        <v>3479</v>
      </c>
      <c r="AM8" s="3148" t="s">
        <v>3480</v>
      </c>
      <c r="AN8" s="3148" t="s">
        <v>3481</v>
      </c>
      <c r="AO8" s="3148" t="s">
        <v>3482</v>
      </c>
      <c r="AP8" s="3148" t="s">
        <v>3483</v>
      </c>
      <c r="AQ8" s="3148" t="s">
        <v>3484</v>
      </c>
      <c r="AR8" s="3148" t="s">
        <v>3485</v>
      </c>
      <c r="AS8" s="3148" t="s">
        <v>3486</v>
      </c>
      <c r="AT8" s="3148" t="s">
        <v>3487</v>
      </c>
    </row>
    <row r="9" spans="1:46" ht="33.75">
      <c r="A9" s="3149">
        <v>1</v>
      </c>
      <c r="B9" s="3149" t="s">
        <v>3488</v>
      </c>
      <c r="C9" s="3149" t="s">
        <v>3820</v>
      </c>
      <c r="D9" s="3149" t="s">
        <v>3490</v>
      </c>
      <c r="E9" s="3149" t="s">
        <v>3491</v>
      </c>
      <c r="F9" s="3149" t="s">
        <v>3492</v>
      </c>
      <c r="G9" s="3149" t="s">
        <v>3493</v>
      </c>
      <c r="H9" s="3149" t="s">
        <v>3494</v>
      </c>
      <c r="I9" s="3149" t="s">
        <v>3495</v>
      </c>
      <c r="J9" s="3149" t="s">
        <v>3389</v>
      </c>
      <c r="K9" s="3149" t="s">
        <v>3496</v>
      </c>
      <c r="L9" s="3150">
        <v>114.02</v>
      </c>
      <c r="M9" s="3150">
        <v>92.93</v>
      </c>
      <c r="N9" s="3161">
        <v>114.02</v>
      </c>
      <c r="O9" s="3150">
        <v>92.93</v>
      </c>
      <c r="P9" s="3151">
        <v>13775</v>
      </c>
      <c r="Q9" s="3151">
        <v>16901.16</v>
      </c>
      <c r="R9" s="3151">
        <v>1570625</v>
      </c>
      <c r="S9" s="3151">
        <v>16549.631600000001</v>
      </c>
      <c r="T9" s="3151">
        <v>20305.488000000001</v>
      </c>
      <c r="U9" s="3151">
        <v>1886989</v>
      </c>
      <c r="V9" s="3151">
        <v>14500</v>
      </c>
      <c r="W9" s="3151">
        <v>17790.7</v>
      </c>
      <c r="X9" s="3151">
        <v>1653290</v>
      </c>
      <c r="Y9" s="3152">
        <v>1653290</v>
      </c>
      <c r="Z9" s="3152">
        <v>0</v>
      </c>
      <c r="AA9" s="3153"/>
      <c r="AB9" s="3151">
        <v>1653290</v>
      </c>
      <c r="AC9" s="3154">
        <v>44028</v>
      </c>
      <c r="AD9" s="3154">
        <v>44089.755273182869</v>
      </c>
      <c r="AE9" s="3154">
        <v>44090.402999074075</v>
      </c>
      <c r="AF9" s="3154">
        <v>44273</v>
      </c>
      <c r="AG9" s="3154">
        <v>44273</v>
      </c>
      <c r="AH9" s="3154">
        <v>44279</v>
      </c>
      <c r="AI9" s="3154">
        <v>44294</v>
      </c>
      <c r="AJ9" s="3154">
        <v>44834</v>
      </c>
      <c r="AK9" s="3154">
        <v>44834</v>
      </c>
      <c r="AL9" s="3154">
        <v>44028</v>
      </c>
      <c r="AM9" s="3149" t="s">
        <v>3416</v>
      </c>
      <c r="AN9" s="3149" t="s">
        <v>3497</v>
      </c>
      <c r="AO9" s="3149" t="s">
        <v>3498</v>
      </c>
      <c r="AP9" s="3149" t="s">
        <v>3499</v>
      </c>
      <c r="AQ9" s="3149" t="s">
        <v>3499</v>
      </c>
      <c r="AR9" s="3149" t="s">
        <v>3500</v>
      </c>
      <c r="AS9" s="3149" t="s">
        <v>3501</v>
      </c>
      <c r="AT9" s="3149"/>
    </row>
    <row r="10" spans="1:46" ht="33.75">
      <c r="A10" s="3149">
        <v>2</v>
      </c>
      <c r="B10" s="3149" t="s">
        <v>3488</v>
      </c>
      <c r="C10" s="3149" t="s">
        <v>3489</v>
      </c>
      <c r="D10" s="3149" t="s">
        <v>3490</v>
      </c>
      <c r="E10" s="3149" t="s">
        <v>3491</v>
      </c>
      <c r="F10" s="3149" t="s">
        <v>3492</v>
      </c>
      <c r="G10" s="3149" t="s">
        <v>3502</v>
      </c>
      <c r="H10" s="3149" t="s">
        <v>3494</v>
      </c>
      <c r="I10" s="3149" t="s">
        <v>3495</v>
      </c>
      <c r="J10" s="3149" t="s">
        <v>3389</v>
      </c>
      <c r="K10" s="3149" t="s">
        <v>3496</v>
      </c>
      <c r="L10" s="3150">
        <v>114.02</v>
      </c>
      <c r="M10" s="3150">
        <v>92.93</v>
      </c>
      <c r="N10" s="3161">
        <v>114.02</v>
      </c>
      <c r="O10" s="3150">
        <v>92.93</v>
      </c>
      <c r="P10" s="3151">
        <v>12539.99</v>
      </c>
      <c r="Q10" s="3151">
        <v>15385.88</v>
      </c>
      <c r="R10" s="3151">
        <v>1429810</v>
      </c>
      <c r="S10" s="3151">
        <v>15105.1921</v>
      </c>
      <c r="T10" s="3151">
        <v>18533.240099999999</v>
      </c>
      <c r="U10" s="3151">
        <v>1722294</v>
      </c>
      <c r="V10" s="3151">
        <v>14000</v>
      </c>
      <c r="W10" s="3151">
        <v>17177.23</v>
      </c>
      <c r="X10" s="3151">
        <v>1596280</v>
      </c>
      <c r="Y10" s="3152">
        <v>1596280</v>
      </c>
      <c r="Z10" s="3152">
        <v>0</v>
      </c>
      <c r="AA10" s="3153"/>
      <c r="AB10" s="3151">
        <v>1596280</v>
      </c>
      <c r="AC10" s="3154">
        <v>44028</v>
      </c>
      <c r="AD10" s="3154">
        <v>44089.755273182869</v>
      </c>
      <c r="AE10" s="3154">
        <v>44090.402999074075</v>
      </c>
      <c r="AF10" s="3154">
        <v>44324</v>
      </c>
      <c r="AG10" s="3154">
        <v>44325</v>
      </c>
      <c r="AH10" s="3154">
        <v>44336</v>
      </c>
      <c r="AI10" s="3154">
        <v>44341</v>
      </c>
      <c r="AJ10" s="3154">
        <v>44834</v>
      </c>
      <c r="AK10" s="3154">
        <v>44834</v>
      </c>
      <c r="AL10" s="3154">
        <v>44028</v>
      </c>
      <c r="AM10" s="3149" t="s">
        <v>3416</v>
      </c>
      <c r="AN10" s="3149" t="s">
        <v>3503</v>
      </c>
      <c r="AO10" s="3149" t="s">
        <v>3504</v>
      </c>
      <c r="AP10" s="3149" t="s">
        <v>3499</v>
      </c>
      <c r="AQ10" s="3149" t="s">
        <v>3499</v>
      </c>
      <c r="AR10" s="3149" t="s">
        <v>3505</v>
      </c>
      <c r="AS10" s="3149" t="s">
        <v>3506</v>
      </c>
      <c r="AT10" s="3149" t="s">
        <v>3507</v>
      </c>
    </row>
    <row r="11" spans="1:46" ht="33.75">
      <c r="A11" s="3149">
        <v>3</v>
      </c>
      <c r="B11" s="3149" t="s">
        <v>3488</v>
      </c>
      <c r="C11" s="3149" t="s">
        <v>3489</v>
      </c>
      <c r="D11" s="3149" t="s">
        <v>3490</v>
      </c>
      <c r="E11" s="3149" t="s">
        <v>3491</v>
      </c>
      <c r="F11" s="3149" t="s">
        <v>3492</v>
      </c>
      <c r="G11" s="3149" t="s">
        <v>3508</v>
      </c>
      <c r="H11" s="3149" t="s">
        <v>3509</v>
      </c>
      <c r="I11" s="3149" t="s">
        <v>3495</v>
      </c>
      <c r="J11" s="3149" t="s">
        <v>3389</v>
      </c>
      <c r="K11" s="3149" t="s">
        <v>3496</v>
      </c>
      <c r="L11" s="3150">
        <v>114.02</v>
      </c>
      <c r="M11" s="3150">
        <v>92.93</v>
      </c>
      <c r="N11" s="3161">
        <v>114.02</v>
      </c>
      <c r="O11" s="3150">
        <v>92.93</v>
      </c>
      <c r="P11" s="3151">
        <v>4300</v>
      </c>
      <c r="Q11" s="3151">
        <v>5275.86</v>
      </c>
      <c r="R11" s="3151">
        <v>490286</v>
      </c>
      <c r="S11" s="3151">
        <v>4300</v>
      </c>
      <c r="T11" s="3151">
        <v>5275.8635999999997</v>
      </c>
      <c r="U11" s="3151">
        <v>490286</v>
      </c>
      <c r="V11" s="3153"/>
      <c r="W11" s="3153"/>
      <c r="X11" s="3153"/>
      <c r="Y11" s="3153"/>
      <c r="Z11" s="3152">
        <v>0</v>
      </c>
      <c r="AA11" s="3153"/>
      <c r="AB11" s="3151">
        <v>0</v>
      </c>
      <c r="AC11" s="3154">
        <v>44028</v>
      </c>
      <c r="AD11" s="3154">
        <v>45264.773614039354</v>
      </c>
      <c r="AE11" s="3154">
        <v>44090.402999074075</v>
      </c>
      <c r="AF11" s="3149"/>
      <c r="AG11" s="3149"/>
      <c r="AH11" s="3149"/>
      <c r="AI11" s="3149"/>
      <c r="AJ11" s="3149"/>
      <c r="AK11" s="3154">
        <v>44834</v>
      </c>
      <c r="AL11" s="3154">
        <v>44028</v>
      </c>
      <c r="AM11" s="3149"/>
      <c r="AN11" s="3149"/>
      <c r="AO11" s="3149"/>
      <c r="AP11" s="3149"/>
      <c r="AQ11" s="3149"/>
      <c r="AR11" s="3149"/>
      <c r="AS11" s="3149"/>
      <c r="AT11" s="3149"/>
    </row>
    <row r="12" spans="1:46" ht="33.75">
      <c r="A12" s="3149">
        <v>4</v>
      </c>
      <c r="B12" s="3149" t="s">
        <v>3488</v>
      </c>
      <c r="C12" s="3149" t="s">
        <v>3489</v>
      </c>
      <c r="D12" s="3149" t="s">
        <v>3490</v>
      </c>
      <c r="E12" s="3149" t="s">
        <v>3491</v>
      </c>
      <c r="F12" s="3149" t="s">
        <v>3492</v>
      </c>
      <c r="G12" s="3149" t="s">
        <v>3510</v>
      </c>
      <c r="H12" s="3149" t="s">
        <v>3509</v>
      </c>
      <c r="I12" s="3149" t="s">
        <v>3495</v>
      </c>
      <c r="J12" s="3149" t="s">
        <v>3389</v>
      </c>
      <c r="K12" s="3149" t="s">
        <v>3496</v>
      </c>
      <c r="L12" s="3150">
        <v>114.02</v>
      </c>
      <c r="M12" s="3150">
        <v>92.93</v>
      </c>
      <c r="N12" s="3161">
        <v>114.02</v>
      </c>
      <c r="O12" s="3150">
        <v>92.93</v>
      </c>
      <c r="P12" s="3151">
        <v>4300</v>
      </c>
      <c r="Q12" s="3151">
        <v>5275.86</v>
      </c>
      <c r="R12" s="3151">
        <v>490286</v>
      </c>
      <c r="S12" s="3151">
        <v>4300</v>
      </c>
      <c r="T12" s="3151">
        <v>5275.8635999999997</v>
      </c>
      <c r="U12" s="3151">
        <v>490286</v>
      </c>
      <c r="V12" s="3153"/>
      <c r="W12" s="3153"/>
      <c r="X12" s="3153"/>
      <c r="Y12" s="3153"/>
      <c r="Z12" s="3152">
        <v>0</v>
      </c>
      <c r="AA12" s="3153"/>
      <c r="AB12" s="3151">
        <v>0</v>
      </c>
      <c r="AC12" s="3154">
        <v>44028</v>
      </c>
      <c r="AD12" s="3154">
        <v>45264.773614039354</v>
      </c>
      <c r="AE12" s="3154">
        <v>44090.402999074075</v>
      </c>
      <c r="AF12" s="3149"/>
      <c r="AG12" s="3149"/>
      <c r="AH12" s="3149"/>
      <c r="AI12" s="3149"/>
      <c r="AJ12" s="3149"/>
      <c r="AK12" s="3154">
        <v>44834</v>
      </c>
      <c r="AL12" s="3154">
        <v>44028</v>
      </c>
      <c r="AM12" s="3149"/>
      <c r="AN12" s="3149"/>
      <c r="AO12" s="3149"/>
      <c r="AP12" s="3149"/>
      <c r="AQ12" s="3149"/>
      <c r="AR12" s="3149"/>
      <c r="AS12" s="3149"/>
      <c r="AT12" s="3149"/>
    </row>
    <row r="13" spans="1:46" ht="33.75">
      <c r="A13" s="3149">
        <v>5</v>
      </c>
      <c r="B13" s="3149" t="s">
        <v>3488</v>
      </c>
      <c r="C13" s="3149" t="s">
        <v>3489</v>
      </c>
      <c r="D13" s="3149" t="s">
        <v>3490</v>
      </c>
      <c r="E13" s="3149" t="s">
        <v>3491</v>
      </c>
      <c r="F13" s="3149" t="s">
        <v>3492</v>
      </c>
      <c r="G13" s="3149" t="s">
        <v>3511</v>
      </c>
      <c r="H13" s="3149" t="s">
        <v>3509</v>
      </c>
      <c r="I13" s="3149" t="s">
        <v>3495</v>
      </c>
      <c r="J13" s="3149" t="s">
        <v>3389</v>
      </c>
      <c r="K13" s="3149" t="s">
        <v>3496</v>
      </c>
      <c r="L13" s="3150">
        <v>114.02</v>
      </c>
      <c r="M13" s="3150">
        <v>92.93</v>
      </c>
      <c r="N13" s="3161">
        <v>114.02</v>
      </c>
      <c r="O13" s="3150">
        <v>92.93</v>
      </c>
      <c r="P13" s="3151">
        <v>4350</v>
      </c>
      <c r="Q13" s="3151">
        <v>5337.21</v>
      </c>
      <c r="R13" s="3151">
        <v>495987</v>
      </c>
      <c r="S13" s="3151">
        <v>4350</v>
      </c>
      <c r="T13" s="3151">
        <v>5337.2107999999998</v>
      </c>
      <c r="U13" s="3151">
        <v>495987</v>
      </c>
      <c r="V13" s="3153"/>
      <c r="W13" s="3153"/>
      <c r="X13" s="3153"/>
      <c r="Y13" s="3153"/>
      <c r="Z13" s="3152">
        <v>0</v>
      </c>
      <c r="AA13" s="3153"/>
      <c r="AB13" s="3151">
        <v>0</v>
      </c>
      <c r="AC13" s="3154">
        <v>44028</v>
      </c>
      <c r="AD13" s="3154">
        <v>45264.773614039354</v>
      </c>
      <c r="AE13" s="3154">
        <v>44090.402999074075</v>
      </c>
      <c r="AF13" s="3149"/>
      <c r="AG13" s="3149"/>
      <c r="AH13" s="3149"/>
      <c r="AI13" s="3149"/>
      <c r="AJ13" s="3149"/>
      <c r="AK13" s="3154">
        <v>44834</v>
      </c>
      <c r="AL13" s="3154">
        <v>44028</v>
      </c>
      <c r="AM13" s="3149"/>
      <c r="AN13" s="3149"/>
      <c r="AO13" s="3149"/>
      <c r="AP13" s="3149"/>
      <c r="AQ13" s="3149"/>
      <c r="AR13" s="3149"/>
      <c r="AS13" s="3149"/>
      <c r="AT13" s="3149"/>
    </row>
    <row r="14" spans="1:46" ht="33.75">
      <c r="A14" s="3149">
        <v>6</v>
      </c>
      <c r="B14" s="3149" t="s">
        <v>3488</v>
      </c>
      <c r="C14" s="3149" t="s">
        <v>3489</v>
      </c>
      <c r="D14" s="3149" t="s">
        <v>3490</v>
      </c>
      <c r="E14" s="3149" t="s">
        <v>3491</v>
      </c>
      <c r="F14" s="3149" t="s">
        <v>3492</v>
      </c>
      <c r="G14" s="3149" t="s">
        <v>3512</v>
      </c>
      <c r="H14" s="3149" t="s">
        <v>3509</v>
      </c>
      <c r="I14" s="3149" t="s">
        <v>3495</v>
      </c>
      <c r="J14" s="3149" t="s">
        <v>3389</v>
      </c>
      <c r="K14" s="3149" t="s">
        <v>3496</v>
      </c>
      <c r="L14" s="3150">
        <v>114.02</v>
      </c>
      <c r="M14" s="3150">
        <v>92.93</v>
      </c>
      <c r="N14" s="3161">
        <v>114.02</v>
      </c>
      <c r="O14" s="3150">
        <v>92.93</v>
      </c>
      <c r="P14" s="3151">
        <v>4350</v>
      </c>
      <c r="Q14" s="3151">
        <v>5337.21</v>
      </c>
      <c r="R14" s="3151">
        <v>495987</v>
      </c>
      <c r="S14" s="3151">
        <v>4350</v>
      </c>
      <c r="T14" s="3151">
        <v>5337.2107999999998</v>
      </c>
      <c r="U14" s="3151">
        <v>495987</v>
      </c>
      <c r="V14" s="3153"/>
      <c r="W14" s="3153"/>
      <c r="X14" s="3153"/>
      <c r="Y14" s="3153"/>
      <c r="Z14" s="3152">
        <v>0</v>
      </c>
      <c r="AA14" s="3153"/>
      <c r="AB14" s="3151">
        <v>0</v>
      </c>
      <c r="AC14" s="3154">
        <v>44028</v>
      </c>
      <c r="AD14" s="3154">
        <v>45264.773614039354</v>
      </c>
      <c r="AE14" s="3154">
        <v>44090.402999074075</v>
      </c>
      <c r="AF14" s="3149"/>
      <c r="AG14" s="3149"/>
      <c r="AH14" s="3149"/>
      <c r="AI14" s="3149"/>
      <c r="AJ14" s="3149"/>
      <c r="AK14" s="3154">
        <v>44834</v>
      </c>
      <c r="AL14" s="3154">
        <v>44028</v>
      </c>
      <c r="AM14" s="3149"/>
      <c r="AN14" s="3149"/>
      <c r="AO14" s="3149"/>
      <c r="AP14" s="3149"/>
      <c r="AQ14" s="3149"/>
      <c r="AR14" s="3149"/>
      <c r="AS14" s="3149"/>
      <c r="AT14" s="3149"/>
    </row>
    <row r="15" spans="1:46" ht="33.75">
      <c r="A15" s="3149">
        <v>7</v>
      </c>
      <c r="B15" s="3149" t="s">
        <v>3488</v>
      </c>
      <c r="C15" s="3149" t="s">
        <v>3489</v>
      </c>
      <c r="D15" s="3149" t="s">
        <v>3490</v>
      </c>
      <c r="E15" s="3149" t="s">
        <v>3491</v>
      </c>
      <c r="F15" s="3149" t="s">
        <v>3492</v>
      </c>
      <c r="G15" s="3149" t="s">
        <v>3513</v>
      </c>
      <c r="H15" s="3149" t="s">
        <v>3509</v>
      </c>
      <c r="I15" s="3149" t="s">
        <v>3495</v>
      </c>
      <c r="J15" s="3149" t="s">
        <v>3389</v>
      </c>
      <c r="K15" s="3149" t="s">
        <v>3496</v>
      </c>
      <c r="L15" s="3150">
        <v>114.02</v>
      </c>
      <c r="M15" s="3150">
        <v>92.93</v>
      </c>
      <c r="N15" s="3161">
        <v>114.02</v>
      </c>
      <c r="O15" s="3150">
        <v>92.93</v>
      </c>
      <c r="P15" s="3151">
        <v>4400</v>
      </c>
      <c r="Q15" s="3151">
        <v>5398.56</v>
      </c>
      <c r="R15" s="3151">
        <v>501688</v>
      </c>
      <c r="S15" s="3151">
        <v>4400</v>
      </c>
      <c r="T15" s="3151">
        <v>5398.5581000000002</v>
      </c>
      <c r="U15" s="3151">
        <v>501688</v>
      </c>
      <c r="V15" s="3153"/>
      <c r="W15" s="3153"/>
      <c r="X15" s="3153"/>
      <c r="Y15" s="3153"/>
      <c r="Z15" s="3152">
        <v>0</v>
      </c>
      <c r="AA15" s="3153"/>
      <c r="AB15" s="3151">
        <v>0</v>
      </c>
      <c r="AC15" s="3154">
        <v>44028</v>
      </c>
      <c r="AD15" s="3154">
        <v>45264.773614039354</v>
      </c>
      <c r="AE15" s="3154">
        <v>44090.402999074075</v>
      </c>
      <c r="AF15" s="3149"/>
      <c r="AG15" s="3149"/>
      <c r="AH15" s="3149"/>
      <c r="AI15" s="3149"/>
      <c r="AJ15" s="3149"/>
      <c r="AK15" s="3154">
        <v>44834</v>
      </c>
      <c r="AL15" s="3154">
        <v>44028</v>
      </c>
      <c r="AM15" s="3149"/>
      <c r="AN15" s="3149"/>
      <c r="AO15" s="3149"/>
      <c r="AP15" s="3149"/>
      <c r="AQ15" s="3149"/>
      <c r="AR15" s="3149"/>
      <c r="AS15" s="3149"/>
      <c r="AT15" s="3149"/>
    </row>
    <row r="16" spans="1:46" ht="33.75">
      <c r="A16" s="3149">
        <v>8</v>
      </c>
      <c r="B16" s="3149" t="s">
        <v>3488</v>
      </c>
      <c r="C16" s="3149" t="s">
        <v>3489</v>
      </c>
      <c r="D16" s="3149" t="s">
        <v>3490</v>
      </c>
      <c r="E16" s="3149" t="s">
        <v>3491</v>
      </c>
      <c r="F16" s="3149" t="s">
        <v>3492</v>
      </c>
      <c r="G16" s="3149" t="s">
        <v>3514</v>
      </c>
      <c r="H16" s="3149" t="s">
        <v>3509</v>
      </c>
      <c r="I16" s="3149" t="s">
        <v>3495</v>
      </c>
      <c r="J16" s="3149" t="s">
        <v>3389</v>
      </c>
      <c r="K16" s="3149" t="s">
        <v>3496</v>
      </c>
      <c r="L16" s="3150">
        <v>114.02</v>
      </c>
      <c r="M16" s="3150">
        <v>92.93</v>
      </c>
      <c r="N16" s="3161">
        <v>114.02</v>
      </c>
      <c r="O16" s="3150">
        <v>92.93</v>
      </c>
      <c r="P16" s="3151">
        <v>4400</v>
      </c>
      <c r="Q16" s="3151">
        <v>5398.56</v>
      </c>
      <c r="R16" s="3151">
        <v>501688</v>
      </c>
      <c r="S16" s="3151">
        <v>4400</v>
      </c>
      <c r="T16" s="3151">
        <v>5398.5581000000002</v>
      </c>
      <c r="U16" s="3151">
        <v>501688</v>
      </c>
      <c r="V16" s="3153"/>
      <c r="W16" s="3153"/>
      <c r="X16" s="3153"/>
      <c r="Y16" s="3153"/>
      <c r="Z16" s="3152">
        <v>0</v>
      </c>
      <c r="AA16" s="3153"/>
      <c r="AB16" s="3151">
        <v>0</v>
      </c>
      <c r="AC16" s="3154">
        <v>44028</v>
      </c>
      <c r="AD16" s="3154">
        <v>45264.773614039354</v>
      </c>
      <c r="AE16" s="3154">
        <v>44090.402999074075</v>
      </c>
      <c r="AF16" s="3149"/>
      <c r="AG16" s="3149"/>
      <c r="AH16" s="3149"/>
      <c r="AI16" s="3149"/>
      <c r="AJ16" s="3149"/>
      <c r="AK16" s="3154">
        <v>44834</v>
      </c>
      <c r="AL16" s="3154">
        <v>44028</v>
      </c>
      <c r="AM16" s="3149"/>
      <c r="AN16" s="3149"/>
      <c r="AO16" s="3149"/>
      <c r="AP16" s="3149"/>
      <c r="AQ16" s="3149"/>
      <c r="AR16" s="3149"/>
      <c r="AS16" s="3149"/>
      <c r="AT16" s="3149"/>
    </row>
    <row r="17" spans="1:46" ht="33.75">
      <c r="A17" s="3149">
        <v>9</v>
      </c>
      <c r="B17" s="3149" t="s">
        <v>3488</v>
      </c>
      <c r="C17" s="3149" t="s">
        <v>3489</v>
      </c>
      <c r="D17" s="3149" t="s">
        <v>3490</v>
      </c>
      <c r="E17" s="3149" t="s">
        <v>3491</v>
      </c>
      <c r="F17" s="3149" t="s">
        <v>3492</v>
      </c>
      <c r="G17" s="3149" t="s">
        <v>3515</v>
      </c>
      <c r="H17" s="3149" t="s">
        <v>3494</v>
      </c>
      <c r="I17" s="3149" t="s">
        <v>3495</v>
      </c>
      <c r="J17" s="3149" t="s">
        <v>3389</v>
      </c>
      <c r="K17" s="3149" t="s">
        <v>3496</v>
      </c>
      <c r="L17" s="3150">
        <v>114.02</v>
      </c>
      <c r="M17" s="3150">
        <v>92.93</v>
      </c>
      <c r="N17" s="3161">
        <v>114.02</v>
      </c>
      <c r="O17" s="3150">
        <v>92.93</v>
      </c>
      <c r="P17" s="3151">
        <v>9300.49</v>
      </c>
      <c r="Q17" s="3151">
        <v>11411.19</v>
      </c>
      <c r="R17" s="3151">
        <v>1060442</v>
      </c>
      <c r="S17" s="3151">
        <v>10843.071400000001</v>
      </c>
      <c r="T17" s="3151">
        <v>13303.8524</v>
      </c>
      <c r="U17" s="3151">
        <v>1236327</v>
      </c>
      <c r="V17" s="3151">
        <v>9300.49</v>
      </c>
      <c r="W17" s="3151">
        <v>11411.19</v>
      </c>
      <c r="X17" s="3151">
        <v>1060442</v>
      </c>
      <c r="Y17" s="3152">
        <v>1060442</v>
      </c>
      <c r="Z17" s="3152">
        <v>0</v>
      </c>
      <c r="AA17" s="3153"/>
      <c r="AB17" s="3151">
        <v>1060442</v>
      </c>
      <c r="AC17" s="3154">
        <v>44028</v>
      </c>
      <c r="AD17" s="3154">
        <v>44372.487411145834</v>
      </c>
      <c r="AE17" s="3154">
        <v>44090.402999074075</v>
      </c>
      <c r="AF17" s="3154">
        <v>44469</v>
      </c>
      <c r="AG17" s="3154">
        <v>44469</v>
      </c>
      <c r="AH17" s="3149"/>
      <c r="AI17" s="3149"/>
      <c r="AJ17" s="3154">
        <v>45199</v>
      </c>
      <c r="AK17" s="3154">
        <v>44834</v>
      </c>
      <c r="AL17" s="3154">
        <v>44028</v>
      </c>
      <c r="AM17" s="3149" t="s">
        <v>3516</v>
      </c>
      <c r="AN17" s="3149" t="s">
        <v>3517</v>
      </c>
      <c r="AO17" s="3149" t="s">
        <v>3518</v>
      </c>
      <c r="AP17" s="3149" t="s">
        <v>3499</v>
      </c>
      <c r="AQ17" s="3149" t="s">
        <v>3499</v>
      </c>
      <c r="AR17" s="3149" t="s">
        <v>3519</v>
      </c>
      <c r="AS17" s="3149" t="s">
        <v>3520</v>
      </c>
      <c r="AT17" s="3149"/>
    </row>
    <row r="18" spans="1:46" ht="33.75">
      <c r="A18" s="3149">
        <v>10</v>
      </c>
      <c r="B18" s="3149" t="s">
        <v>3488</v>
      </c>
      <c r="C18" s="3149" t="s">
        <v>3489</v>
      </c>
      <c r="D18" s="3149" t="s">
        <v>3490</v>
      </c>
      <c r="E18" s="3149" t="s">
        <v>3491</v>
      </c>
      <c r="F18" s="3149" t="s">
        <v>3492</v>
      </c>
      <c r="G18" s="3149" t="s">
        <v>3521</v>
      </c>
      <c r="H18" s="3149" t="s">
        <v>3509</v>
      </c>
      <c r="I18" s="3149" t="s">
        <v>3495</v>
      </c>
      <c r="J18" s="3149" t="s">
        <v>3389</v>
      </c>
      <c r="K18" s="3149" t="s">
        <v>3496</v>
      </c>
      <c r="L18" s="3150">
        <v>114.02</v>
      </c>
      <c r="M18" s="3150">
        <v>92.93</v>
      </c>
      <c r="N18" s="3161">
        <v>114.02</v>
      </c>
      <c r="O18" s="3150">
        <v>92.93</v>
      </c>
      <c r="P18" s="3151">
        <v>4600</v>
      </c>
      <c r="Q18" s="3151">
        <v>5643.95</v>
      </c>
      <c r="R18" s="3151">
        <v>524492</v>
      </c>
      <c r="S18" s="3151">
        <v>4600</v>
      </c>
      <c r="T18" s="3151">
        <v>5643.9471000000003</v>
      </c>
      <c r="U18" s="3151">
        <v>524492</v>
      </c>
      <c r="V18" s="3153"/>
      <c r="W18" s="3153"/>
      <c r="X18" s="3153"/>
      <c r="Y18" s="3153"/>
      <c r="Z18" s="3152">
        <v>0</v>
      </c>
      <c r="AA18" s="3153"/>
      <c r="AB18" s="3151">
        <v>0</v>
      </c>
      <c r="AC18" s="3154">
        <v>44028</v>
      </c>
      <c r="AD18" s="3154">
        <v>45264.773614039354</v>
      </c>
      <c r="AE18" s="3154">
        <v>44090.402999074075</v>
      </c>
      <c r="AF18" s="3149"/>
      <c r="AG18" s="3149"/>
      <c r="AH18" s="3149"/>
      <c r="AI18" s="3149"/>
      <c r="AJ18" s="3149"/>
      <c r="AK18" s="3154">
        <v>44834</v>
      </c>
      <c r="AL18" s="3154">
        <v>44028</v>
      </c>
      <c r="AM18" s="3149"/>
      <c r="AN18" s="3149"/>
      <c r="AO18" s="3149"/>
      <c r="AP18" s="3149"/>
      <c r="AQ18" s="3149"/>
      <c r="AR18" s="3149"/>
      <c r="AS18" s="3149"/>
      <c r="AT18" s="3149"/>
    </row>
    <row r="19" spans="1:46" ht="33.75">
      <c r="A19" s="3149">
        <v>11</v>
      </c>
      <c r="B19" s="3149" t="s">
        <v>3488</v>
      </c>
      <c r="C19" s="3149" t="s">
        <v>3489</v>
      </c>
      <c r="D19" s="3149" t="s">
        <v>3490</v>
      </c>
      <c r="E19" s="3149" t="s">
        <v>3491</v>
      </c>
      <c r="F19" s="3149" t="s">
        <v>3492</v>
      </c>
      <c r="G19" s="3149" t="s">
        <v>3522</v>
      </c>
      <c r="H19" s="3149" t="s">
        <v>3509</v>
      </c>
      <c r="I19" s="3149" t="s">
        <v>3495</v>
      </c>
      <c r="J19" s="3149" t="s">
        <v>3389</v>
      </c>
      <c r="K19" s="3149" t="s">
        <v>3496</v>
      </c>
      <c r="L19" s="3150">
        <v>114.02</v>
      </c>
      <c r="M19" s="3150">
        <v>92.93</v>
      </c>
      <c r="N19" s="3161">
        <v>114.02</v>
      </c>
      <c r="O19" s="3150">
        <v>92.93</v>
      </c>
      <c r="P19" s="3151">
        <v>4550</v>
      </c>
      <c r="Q19" s="3151">
        <v>5582.6</v>
      </c>
      <c r="R19" s="3151">
        <v>518791</v>
      </c>
      <c r="S19" s="3151">
        <v>4550</v>
      </c>
      <c r="T19" s="3151">
        <v>5582.5998</v>
      </c>
      <c r="U19" s="3151">
        <v>518791</v>
      </c>
      <c r="V19" s="3153"/>
      <c r="W19" s="3153"/>
      <c r="X19" s="3153"/>
      <c r="Y19" s="3153"/>
      <c r="Z19" s="3152">
        <v>0</v>
      </c>
      <c r="AA19" s="3153"/>
      <c r="AB19" s="3151">
        <v>0</v>
      </c>
      <c r="AC19" s="3154">
        <v>44028</v>
      </c>
      <c r="AD19" s="3154">
        <v>45264.773614039354</v>
      </c>
      <c r="AE19" s="3154">
        <v>44090.402999074075</v>
      </c>
      <c r="AF19" s="3149"/>
      <c r="AG19" s="3149"/>
      <c r="AH19" s="3149"/>
      <c r="AI19" s="3149"/>
      <c r="AJ19" s="3149"/>
      <c r="AK19" s="3154">
        <v>44834</v>
      </c>
      <c r="AL19" s="3154">
        <v>44028</v>
      </c>
      <c r="AM19" s="3149"/>
      <c r="AN19" s="3149"/>
      <c r="AO19" s="3149"/>
      <c r="AP19" s="3149"/>
      <c r="AQ19" s="3149"/>
      <c r="AR19" s="3149"/>
      <c r="AS19" s="3149"/>
      <c r="AT19" s="3149"/>
    </row>
    <row r="20" spans="1:46" ht="33.75">
      <c r="A20" s="3149">
        <v>12</v>
      </c>
      <c r="B20" s="3149" t="s">
        <v>3488</v>
      </c>
      <c r="C20" s="3149" t="s">
        <v>3489</v>
      </c>
      <c r="D20" s="3149" t="s">
        <v>3490</v>
      </c>
      <c r="E20" s="3149" t="s">
        <v>3491</v>
      </c>
      <c r="F20" s="3149" t="s">
        <v>3492</v>
      </c>
      <c r="G20" s="3149" t="s">
        <v>3523</v>
      </c>
      <c r="H20" s="3149" t="s">
        <v>3494</v>
      </c>
      <c r="I20" s="3149" t="s">
        <v>3495</v>
      </c>
      <c r="J20" s="3149" t="s">
        <v>3389</v>
      </c>
      <c r="K20" s="3149" t="s">
        <v>3496</v>
      </c>
      <c r="L20" s="3150">
        <v>114.02</v>
      </c>
      <c r="M20" s="3150">
        <v>92.93</v>
      </c>
      <c r="N20" s="3161">
        <v>114.02</v>
      </c>
      <c r="O20" s="3150">
        <v>92.93</v>
      </c>
      <c r="P20" s="3151">
        <v>9157.99</v>
      </c>
      <c r="Q20" s="3151">
        <v>11236.35</v>
      </c>
      <c r="R20" s="3151">
        <v>1044194</v>
      </c>
      <c r="S20" s="3151">
        <v>10676.9339</v>
      </c>
      <c r="T20" s="3151">
        <v>13100.0108</v>
      </c>
      <c r="U20" s="3151">
        <v>1217384</v>
      </c>
      <c r="V20" s="3151">
        <v>9157.99</v>
      </c>
      <c r="W20" s="3151">
        <v>11236.35</v>
      </c>
      <c r="X20" s="3151">
        <v>1044194</v>
      </c>
      <c r="Y20" s="3152">
        <v>1044194</v>
      </c>
      <c r="Z20" s="3152">
        <v>0</v>
      </c>
      <c r="AA20" s="3153"/>
      <c r="AB20" s="3151">
        <v>1044194</v>
      </c>
      <c r="AC20" s="3154">
        <v>44028</v>
      </c>
      <c r="AD20" s="3154">
        <v>44372.487411145834</v>
      </c>
      <c r="AE20" s="3154">
        <v>44090.402999074075</v>
      </c>
      <c r="AF20" s="3154">
        <v>44469</v>
      </c>
      <c r="AG20" s="3154">
        <v>44469</v>
      </c>
      <c r="AH20" s="3149"/>
      <c r="AI20" s="3149"/>
      <c r="AJ20" s="3154">
        <v>45199</v>
      </c>
      <c r="AK20" s="3154">
        <v>44834</v>
      </c>
      <c r="AL20" s="3154">
        <v>44028</v>
      </c>
      <c r="AM20" s="3149" t="s">
        <v>3516</v>
      </c>
      <c r="AN20" s="3149" t="s">
        <v>3524</v>
      </c>
      <c r="AO20" s="3149" t="s">
        <v>3498</v>
      </c>
      <c r="AP20" s="3149" t="s">
        <v>3499</v>
      </c>
      <c r="AQ20" s="3149" t="s">
        <v>3499</v>
      </c>
      <c r="AR20" s="3149" t="s">
        <v>3519</v>
      </c>
      <c r="AS20" s="3149" t="s">
        <v>3520</v>
      </c>
      <c r="AT20" s="3149"/>
    </row>
    <row r="21" spans="1:46" ht="33.75">
      <c r="A21" s="3149">
        <v>13</v>
      </c>
      <c r="B21" s="3149" t="s">
        <v>3488</v>
      </c>
      <c r="C21" s="3149" t="s">
        <v>3489</v>
      </c>
      <c r="D21" s="3149" t="s">
        <v>3490</v>
      </c>
      <c r="E21" s="3149" t="s">
        <v>3491</v>
      </c>
      <c r="F21" s="3149" t="s">
        <v>3492</v>
      </c>
      <c r="G21" s="3149" t="s">
        <v>3525</v>
      </c>
      <c r="H21" s="3149" t="s">
        <v>3494</v>
      </c>
      <c r="I21" s="3149" t="s">
        <v>3495</v>
      </c>
      <c r="J21" s="3149" t="s">
        <v>3389</v>
      </c>
      <c r="K21" s="3149" t="s">
        <v>3496</v>
      </c>
      <c r="L21" s="3150">
        <v>114.02</v>
      </c>
      <c r="M21" s="3150">
        <v>92.93</v>
      </c>
      <c r="N21" s="3161">
        <v>114.02</v>
      </c>
      <c r="O21" s="3150">
        <v>92.93</v>
      </c>
      <c r="P21" s="3151">
        <v>9789.99</v>
      </c>
      <c r="Q21" s="3151">
        <v>12011.78</v>
      </c>
      <c r="R21" s="3151">
        <v>1116255</v>
      </c>
      <c r="S21" s="3151">
        <v>11888.817800000001</v>
      </c>
      <c r="T21" s="3151">
        <v>14586.9256</v>
      </c>
      <c r="U21" s="3151">
        <v>1355563</v>
      </c>
      <c r="V21" s="3151">
        <v>10338.25</v>
      </c>
      <c r="W21" s="3151">
        <v>12684.46</v>
      </c>
      <c r="X21" s="3151">
        <v>1178767</v>
      </c>
      <c r="Y21" s="3152">
        <v>1178767</v>
      </c>
      <c r="Z21" s="3152">
        <v>0</v>
      </c>
      <c r="AA21" s="3153"/>
      <c r="AB21" s="3151">
        <v>1178767</v>
      </c>
      <c r="AC21" s="3154">
        <v>44028</v>
      </c>
      <c r="AD21" s="3154">
        <v>44089.755273182869</v>
      </c>
      <c r="AE21" s="3154">
        <v>44090.402999074075</v>
      </c>
      <c r="AF21" s="3154">
        <v>44195</v>
      </c>
      <c r="AG21" s="3154">
        <v>44196</v>
      </c>
      <c r="AH21" s="3154">
        <v>44263</v>
      </c>
      <c r="AI21" s="3154">
        <v>44293</v>
      </c>
      <c r="AJ21" s="3154">
        <v>44834</v>
      </c>
      <c r="AK21" s="3154">
        <v>44834</v>
      </c>
      <c r="AL21" s="3154">
        <v>44028</v>
      </c>
      <c r="AM21" s="3149" t="s">
        <v>3416</v>
      </c>
      <c r="AN21" s="3149" t="s">
        <v>3526</v>
      </c>
      <c r="AO21" s="3149" t="s">
        <v>3527</v>
      </c>
      <c r="AP21" s="3149" t="s">
        <v>3499</v>
      </c>
      <c r="AQ21" s="3149" t="s">
        <v>3499</v>
      </c>
      <c r="AR21" s="3149" t="s">
        <v>3500</v>
      </c>
      <c r="AS21" s="3149" t="s">
        <v>3519</v>
      </c>
      <c r="AT21" s="3149"/>
    </row>
    <row r="22" spans="1:46" ht="33.75">
      <c r="A22" s="3149">
        <v>14</v>
      </c>
      <c r="B22" s="3149" t="s">
        <v>3488</v>
      </c>
      <c r="C22" s="3149" t="s">
        <v>3489</v>
      </c>
      <c r="D22" s="3149" t="s">
        <v>3490</v>
      </c>
      <c r="E22" s="3149" t="s">
        <v>3491</v>
      </c>
      <c r="F22" s="3149" t="s">
        <v>3492</v>
      </c>
      <c r="G22" s="3149" t="s">
        <v>3528</v>
      </c>
      <c r="H22" s="3149" t="s">
        <v>3494</v>
      </c>
      <c r="I22" s="3149" t="s">
        <v>3495</v>
      </c>
      <c r="J22" s="3149" t="s">
        <v>3389</v>
      </c>
      <c r="K22" s="3149" t="s">
        <v>3496</v>
      </c>
      <c r="L22" s="3150">
        <v>114.02</v>
      </c>
      <c r="M22" s="3150">
        <v>92.93</v>
      </c>
      <c r="N22" s="3161">
        <v>114.02</v>
      </c>
      <c r="O22" s="3150">
        <v>92.93</v>
      </c>
      <c r="P22" s="3151">
        <v>9157.99</v>
      </c>
      <c r="Q22" s="3151">
        <v>11236.35</v>
      </c>
      <c r="R22" s="3151">
        <v>1044194</v>
      </c>
      <c r="S22" s="3151">
        <v>10676.9339</v>
      </c>
      <c r="T22" s="3151">
        <v>13100.0108</v>
      </c>
      <c r="U22" s="3151">
        <v>1217384</v>
      </c>
      <c r="V22" s="3151">
        <v>9157.99</v>
      </c>
      <c r="W22" s="3151">
        <v>11236.35</v>
      </c>
      <c r="X22" s="3151">
        <v>1044194</v>
      </c>
      <c r="Y22" s="3152">
        <v>1044194</v>
      </c>
      <c r="Z22" s="3152">
        <v>0</v>
      </c>
      <c r="AA22" s="3153"/>
      <c r="AB22" s="3151">
        <v>1044194</v>
      </c>
      <c r="AC22" s="3154">
        <v>44028</v>
      </c>
      <c r="AD22" s="3154">
        <v>44372.487411145834</v>
      </c>
      <c r="AE22" s="3154">
        <v>44090.402999074075</v>
      </c>
      <c r="AF22" s="3154">
        <v>44439</v>
      </c>
      <c r="AG22" s="3154">
        <v>44439</v>
      </c>
      <c r="AH22" s="3149"/>
      <c r="AI22" s="3149"/>
      <c r="AJ22" s="3154">
        <v>45199</v>
      </c>
      <c r="AK22" s="3154">
        <v>44834</v>
      </c>
      <c r="AL22" s="3154">
        <v>44028</v>
      </c>
      <c r="AM22" s="3149" t="s">
        <v>3516</v>
      </c>
      <c r="AN22" s="3149" t="s">
        <v>3524</v>
      </c>
      <c r="AO22" s="3149" t="s">
        <v>3504</v>
      </c>
      <c r="AP22" s="3149" t="s">
        <v>3499</v>
      </c>
      <c r="AQ22" s="3149" t="s">
        <v>3499</v>
      </c>
      <c r="AR22" s="3149" t="s">
        <v>3519</v>
      </c>
      <c r="AS22" s="3149" t="s">
        <v>3520</v>
      </c>
      <c r="AT22" s="3149"/>
    </row>
    <row r="23" spans="1:46" ht="33.75">
      <c r="A23" s="3149">
        <v>15</v>
      </c>
      <c r="B23" s="3149" t="s">
        <v>3488</v>
      </c>
      <c r="C23" s="3149" t="s">
        <v>3489</v>
      </c>
      <c r="D23" s="3149" t="s">
        <v>3490</v>
      </c>
      <c r="E23" s="3149" t="s">
        <v>3491</v>
      </c>
      <c r="F23" s="3149" t="s">
        <v>3492</v>
      </c>
      <c r="G23" s="3149" t="s">
        <v>3529</v>
      </c>
      <c r="H23" s="3149" t="s">
        <v>3509</v>
      </c>
      <c r="I23" s="3149" t="s">
        <v>3495</v>
      </c>
      <c r="J23" s="3149" t="s">
        <v>3389</v>
      </c>
      <c r="K23" s="3149" t="s">
        <v>3496</v>
      </c>
      <c r="L23" s="3150">
        <v>114.02</v>
      </c>
      <c r="M23" s="3150">
        <v>92.93</v>
      </c>
      <c r="N23" s="3161">
        <v>114.02</v>
      </c>
      <c r="O23" s="3150">
        <v>92.93</v>
      </c>
      <c r="P23" s="3151">
        <v>4800</v>
      </c>
      <c r="Q23" s="3151">
        <v>5889.34</v>
      </c>
      <c r="R23" s="3151">
        <v>547296</v>
      </c>
      <c r="S23" s="3151">
        <v>4800</v>
      </c>
      <c r="T23" s="3151">
        <v>5889.3361000000004</v>
      </c>
      <c r="U23" s="3151">
        <v>547296</v>
      </c>
      <c r="V23" s="3153"/>
      <c r="W23" s="3153"/>
      <c r="X23" s="3153"/>
      <c r="Y23" s="3153"/>
      <c r="Z23" s="3152">
        <v>0</v>
      </c>
      <c r="AA23" s="3153"/>
      <c r="AB23" s="3151">
        <v>0</v>
      </c>
      <c r="AC23" s="3154">
        <v>44028</v>
      </c>
      <c r="AD23" s="3154">
        <v>45264.773614039354</v>
      </c>
      <c r="AE23" s="3154">
        <v>44090.402999074075</v>
      </c>
      <c r="AF23" s="3149"/>
      <c r="AG23" s="3149"/>
      <c r="AH23" s="3149"/>
      <c r="AI23" s="3149"/>
      <c r="AJ23" s="3149"/>
      <c r="AK23" s="3149"/>
      <c r="AL23" s="3154">
        <v>44028</v>
      </c>
      <c r="AM23" s="3149"/>
      <c r="AN23" s="3149"/>
      <c r="AO23" s="3149"/>
      <c r="AP23" s="3149"/>
      <c r="AQ23" s="3149"/>
      <c r="AR23" s="3149"/>
      <c r="AS23" s="3149"/>
      <c r="AT23" s="3149"/>
    </row>
    <row r="24" spans="1:46" ht="33.75">
      <c r="A24" s="3149">
        <v>16</v>
      </c>
      <c r="B24" s="3149" t="s">
        <v>3488</v>
      </c>
      <c r="C24" s="3149" t="s">
        <v>3489</v>
      </c>
      <c r="D24" s="3149" t="s">
        <v>3490</v>
      </c>
      <c r="E24" s="3149" t="s">
        <v>3491</v>
      </c>
      <c r="F24" s="3149" t="s">
        <v>3492</v>
      </c>
      <c r="G24" s="3149" t="s">
        <v>3530</v>
      </c>
      <c r="H24" s="3149" t="s">
        <v>3494</v>
      </c>
      <c r="I24" s="3149" t="s">
        <v>3495</v>
      </c>
      <c r="J24" s="3149" t="s">
        <v>3389</v>
      </c>
      <c r="K24" s="3149" t="s">
        <v>3496</v>
      </c>
      <c r="L24" s="3150">
        <v>114.02</v>
      </c>
      <c r="M24" s="3150">
        <v>92.93</v>
      </c>
      <c r="N24" s="3161">
        <v>114.02</v>
      </c>
      <c r="O24" s="3150">
        <v>92.93</v>
      </c>
      <c r="P24" s="3151">
        <v>9157.99</v>
      </c>
      <c r="Q24" s="3151">
        <v>11236.35</v>
      </c>
      <c r="R24" s="3151">
        <v>1044194</v>
      </c>
      <c r="S24" s="3151">
        <v>10676.9339</v>
      </c>
      <c r="T24" s="3151">
        <v>13100.0108</v>
      </c>
      <c r="U24" s="3151">
        <v>1217384</v>
      </c>
      <c r="V24" s="3151">
        <v>9157.99</v>
      </c>
      <c r="W24" s="3151">
        <v>11236.35</v>
      </c>
      <c r="X24" s="3151">
        <v>1044194</v>
      </c>
      <c r="Y24" s="3152">
        <v>1044194</v>
      </c>
      <c r="Z24" s="3152">
        <v>0</v>
      </c>
      <c r="AA24" s="3153"/>
      <c r="AB24" s="3151">
        <v>524194</v>
      </c>
      <c r="AC24" s="3154">
        <v>44028</v>
      </c>
      <c r="AD24" s="3154">
        <v>44372.487411145834</v>
      </c>
      <c r="AE24" s="3154">
        <v>44090.402999074075</v>
      </c>
      <c r="AF24" s="3154">
        <v>44433</v>
      </c>
      <c r="AG24" s="3154">
        <v>44433</v>
      </c>
      <c r="AH24" s="3149"/>
      <c r="AI24" s="3149"/>
      <c r="AJ24" s="3154">
        <v>45199</v>
      </c>
      <c r="AK24" s="3154">
        <v>44834</v>
      </c>
      <c r="AL24" s="3154">
        <v>44028</v>
      </c>
      <c r="AM24" s="3149" t="s">
        <v>3516</v>
      </c>
      <c r="AN24" s="3149" t="s">
        <v>3531</v>
      </c>
      <c r="AO24" s="3149" t="s">
        <v>3518</v>
      </c>
      <c r="AP24" s="3149" t="s">
        <v>3499</v>
      </c>
      <c r="AQ24" s="3149" t="s">
        <v>3499</v>
      </c>
      <c r="AR24" s="3149" t="s">
        <v>3519</v>
      </c>
      <c r="AS24" s="3149" t="s">
        <v>3520</v>
      </c>
      <c r="AT24" s="3149"/>
    </row>
    <row r="25" spans="1:46" ht="33.75">
      <c r="A25" s="3149">
        <v>17</v>
      </c>
      <c r="B25" s="3149" t="s">
        <v>3488</v>
      </c>
      <c r="C25" s="3149" t="s">
        <v>3489</v>
      </c>
      <c r="D25" s="3149" t="s">
        <v>3490</v>
      </c>
      <c r="E25" s="3149" t="s">
        <v>3491</v>
      </c>
      <c r="F25" s="3149" t="s">
        <v>3492</v>
      </c>
      <c r="G25" s="3149" t="s">
        <v>3532</v>
      </c>
      <c r="H25" s="3149" t="s">
        <v>3494</v>
      </c>
      <c r="I25" s="3149" t="s">
        <v>3495</v>
      </c>
      <c r="J25" s="3149" t="s">
        <v>3389</v>
      </c>
      <c r="K25" s="3149" t="s">
        <v>3496</v>
      </c>
      <c r="L25" s="3150">
        <v>114.02</v>
      </c>
      <c r="M25" s="3150">
        <v>92.93</v>
      </c>
      <c r="N25" s="3161">
        <v>114.02</v>
      </c>
      <c r="O25" s="3150">
        <v>92.93</v>
      </c>
      <c r="P25" s="3151">
        <v>9300.49</v>
      </c>
      <c r="Q25" s="3151">
        <v>11411.19</v>
      </c>
      <c r="R25" s="3151">
        <v>1060442</v>
      </c>
      <c r="S25" s="3151">
        <v>10843.071400000001</v>
      </c>
      <c r="T25" s="3151">
        <v>13303.8524</v>
      </c>
      <c r="U25" s="3151">
        <v>1236327</v>
      </c>
      <c r="V25" s="3151">
        <v>9300.49</v>
      </c>
      <c r="W25" s="3151">
        <v>11411.19</v>
      </c>
      <c r="X25" s="3151">
        <v>1060442</v>
      </c>
      <c r="Y25" s="3152">
        <v>1060442</v>
      </c>
      <c r="Z25" s="3152">
        <v>0</v>
      </c>
      <c r="AA25" s="3153"/>
      <c r="AB25" s="3151">
        <v>1060442</v>
      </c>
      <c r="AC25" s="3154">
        <v>44028</v>
      </c>
      <c r="AD25" s="3154">
        <v>44372.487411145834</v>
      </c>
      <c r="AE25" s="3154">
        <v>44090.402999074075</v>
      </c>
      <c r="AF25" s="3154">
        <v>44469</v>
      </c>
      <c r="AG25" s="3154">
        <v>44469</v>
      </c>
      <c r="AH25" s="3154">
        <v>44825</v>
      </c>
      <c r="AI25" s="3154">
        <v>44834</v>
      </c>
      <c r="AJ25" s="3154">
        <v>45199</v>
      </c>
      <c r="AK25" s="3154">
        <v>44834</v>
      </c>
      <c r="AL25" s="3154">
        <v>44028</v>
      </c>
      <c r="AM25" s="3149" t="s">
        <v>3516</v>
      </c>
      <c r="AN25" s="3149" t="s">
        <v>3533</v>
      </c>
      <c r="AO25" s="3149" t="s">
        <v>3518</v>
      </c>
      <c r="AP25" s="3149" t="s">
        <v>3499</v>
      </c>
      <c r="AQ25" s="3149" t="s">
        <v>3499</v>
      </c>
      <c r="AR25" s="3149" t="s">
        <v>3519</v>
      </c>
      <c r="AS25" s="3149" t="s">
        <v>3520</v>
      </c>
      <c r="AT25" s="3149"/>
    </row>
    <row r="26" spans="1:46" ht="33.75">
      <c r="A26" s="3149">
        <v>18</v>
      </c>
      <c r="B26" s="3149" t="s">
        <v>3488</v>
      </c>
      <c r="C26" s="3149" t="s">
        <v>3489</v>
      </c>
      <c r="D26" s="3149" t="s">
        <v>3490</v>
      </c>
      <c r="E26" s="3149" t="s">
        <v>3491</v>
      </c>
      <c r="F26" s="3149" t="s">
        <v>3492</v>
      </c>
      <c r="G26" s="3149" t="s">
        <v>3534</v>
      </c>
      <c r="H26" s="3149" t="s">
        <v>3494</v>
      </c>
      <c r="I26" s="3149" t="s">
        <v>3495</v>
      </c>
      <c r="J26" s="3149" t="s">
        <v>3389</v>
      </c>
      <c r="K26" s="3149" t="s">
        <v>3496</v>
      </c>
      <c r="L26" s="3150">
        <v>114.02</v>
      </c>
      <c r="M26" s="3150">
        <v>92.93</v>
      </c>
      <c r="N26" s="3161">
        <v>114.02</v>
      </c>
      <c r="O26" s="3150">
        <v>92.93</v>
      </c>
      <c r="P26" s="3151">
        <v>9157.99</v>
      </c>
      <c r="Q26" s="3151">
        <v>11236.35</v>
      </c>
      <c r="R26" s="3151">
        <v>1044194</v>
      </c>
      <c r="S26" s="3151">
        <v>10676.9339</v>
      </c>
      <c r="T26" s="3151">
        <v>13100.0108</v>
      </c>
      <c r="U26" s="3151">
        <v>1217384</v>
      </c>
      <c r="V26" s="3151">
        <v>9157.99</v>
      </c>
      <c r="W26" s="3151">
        <v>11236.35</v>
      </c>
      <c r="X26" s="3151">
        <v>1044194</v>
      </c>
      <c r="Y26" s="3152">
        <v>1044194</v>
      </c>
      <c r="Z26" s="3152">
        <v>0</v>
      </c>
      <c r="AA26" s="3153"/>
      <c r="AB26" s="3151">
        <v>1044194</v>
      </c>
      <c r="AC26" s="3154">
        <v>44028</v>
      </c>
      <c r="AD26" s="3154">
        <v>44372.487411145834</v>
      </c>
      <c r="AE26" s="3154">
        <v>44090.402999074075</v>
      </c>
      <c r="AF26" s="3154">
        <v>44469</v>
      </c>
      <c r="AG26" s="3154">
        <v>44469</v>
      </c>
      <c r="AH26" s="3154">
        <v>45226</v>
      </c>
      <c r="AI26" s="3149"/>
      <c r="AJ26" s="3154">
        <v>45199</v>
      </c>
      <c r="AK26" s="3154">
        <v>44834</v>
      </c>
      <c r="AL26" s="3154">
        <v>44028</v>
      </c>
      <c r="AM26" s="3149" t="s">
        <v>3516</v>
      </c>
      <c r="AN26" s="3149" t="s">
        <v>3535</v>
      </c>
      <c r="AO26" s="3149" t="s">
        <v>3518</v>
      </c>
      <c r="AP26" s="3149" t="s">
        <v>3499</v>
      </c>
      <c r="AQ26" s="3149" t="s">
        <v>3499</v>
      </c>
      <c r="AR26" s="3149" t="s">
        <v>3519</v>
      </c>
      <c r="AS26" s="3149" t="s">
        <v>3520</v>
      </c>
      <c r="AT26" s="3149"/>
    </row>
    <row r="27" spans="1:46" ht="33.75">
      <c r="A27" s="3149">
        <v>19</v>
      </c>
      <c r="B27" s="3149" t="s">
        <v>3488</v>
      </c>
      <c r="C27" s="3149" t="s">
        <v>3489</v>
      </c>
      <c r="D27" s="3149" t="s">
        <v>3490</v>
      </c>
      <c r="E27" s="3149" t="s">
        <v>3491</v>
      </c>
      <c r="F27" s="3149" t="s">
        <v>3492</v>
      </c>
      <c r="G27" s="3149" t="s">
        <v>3536</v>
      </c>
      <c r="H27" s="3149" t="s">
        <v>3509</v>
      </c>
      <c r="I27" s="3149" t="s">
        <v>3495</v>
      </c>
      <c r="J27" s="3149" t="s">
        <v>3389</v>
      </c>
      <c r="K27" s="3149" t="s">
        <v>3496</v>
      </c>
      <c r="L27" s="3150">
        <v>155.27000000000001</v>
      </c>
      <c r="M27" s="3150">
        <v>126.55</v>
      </c>
      <c r="N27" s="3161">
        <v>155.27000000000001</v>
      </c>
      <c r="O27" s="3150">
        <v>126.55</v>
      </c>
      <c r="P27" s="3151">
        <v>4400</v>
      </c>
      <c r="Q27" s="3151">
        <v>5398.56</v>
      </c>
      <c r="R27" s="3151">
        <v>683188</v>
      </c>
      <c r="S27" s="3151">
        <v>4400</v>
      </c>
      <c r="T27" s="3151">
        <v>5398.5618000000004</v>
      </c>
      <c r="U27" s="3151">
        <v>683188</v>
      </c>
      <c r="V27" s="3153"/>
      <c r="W27" s="3153"/>
      <c r="X27" s="3153"/>
      <c r="Y27" s="3153"/>
      <c r="Z27" s="3152">
        <v>0</v>
      </c>
      <c r="AA27" s="3153"/>
      <c r="AB27" s="3151">
        <v>0</v>
      </c>
      <c r="AC27" s="3154">
        <v>44028</v>
      </c>
      <c r="AD27" s="3154">
        <v>45264.773614039354</v>
      </c>
      <c r="AE27" s="3154">
        <v>44090.402999074075</v>
      </c>
      <c r="AF27" s="3149"/>
      <c r="AG27" s="3149"/>
      <c r="AH27" s="3149"/>
      <c r="AI27" s="3149"/>
      <c r="AJ27" s="3149"/>
      <c r="AK27" s="3154">
        <v>44834</v>
      </c>
      <c r="AL27" s="3154">
        <v>44028</v>
      </c>
      <c r="AM27" s="3149"/>
      <c r="AN27" s="3149"/>
      <c r="AO27" s="3149"/>
      <c r="AP27" s="3149"/>
      <c r="AQ27" s="3149"/>
      <c r="AR27" s="3149"/>
      <c r="AS27" s="3149"/>
      <c r="AT27" s="3149"/>
    </row>
    <row r="28" spans="1:46" ht="33.75">
      <c r="A28" s="3149">
        <v>20</v>
      </c>
      <c r="B28" s="3149" t="s">
        <v>3488</v>
      </c>
      <c r="C28" s="3149" t="s">
        <v>3489</v>
      </c>
      <c r="D28" s="3149" t="s">
        <v>3490</v>
      </c>
      <c r="E28" s="3149" t="s">
        <v>3491</v>
      </c>
      <c r="F28" s="3149" t="s">
        <v>3492</v>
      </c>
      <c r="G28" s="3149" t="s">
        <v>3537</v>
      </c>
      <c r="H28" s="3149" t="s">
        <v>3509</v>
      </c>
      <c r="I28" s="3149" t="s">
        <v>3495</v>
      </c>
      <c r="J28" s="3149" t="s">
        <v>3389</v>
      </c>
      <c r="K28" s="3149" t="s">
        <v>3496</v>
      </c>
      <c r="L28" s="3150">
        <v>151.4</v>
      </c>
      <c r="M28" s="3150">
        <v>123.4</v>
      </c>
      <c r="N28" s="3161">
        <v>151.4</v>
      </c>
      <c r="O28" s="3150">
        <v>123.4</v>
      </c>
      <c r="P28" s="3151">
        <v>4400</v>
      </c>
      <c r="Q28" s="3151">
        <v>5398.38</v>
      </c>
      <c r="R28" s="3151">
        <v>666160</v>
      </c>
      <c r="S28" s="3151">
        <v>4400</v>
      </c>
      <c r="T28" s="3151">
        <v>5398.3792999999996</v>
      </c>
      <c r="U28" s="3151">
        <v>666160</v>
      </c>
      <c r="V28" s="3153"/>
      <c r="W28" s="3153"/>
      <c r="X28" s="3153"/>
      <c r="Y28" s="3153"/>
      <c r="Z28" s="3152">
        <v>0</v>
      </c>
      <c r="AA28" s="3153"/>
      <c r="AB28" s="3151">
        <v>0</v>
      </c>
      <c r="AC28" s="3154">
        <v>44028</v>
      </c>
      <c r="AD28" s="3154">
        <v>45264.773614039354</v>
      </c>
      <c r="AE28" s="3154">
        <v>44090.402999074075</v>
      </c>
      <c r="AF28" s="3149"/>
      <c r="AG28" s="3149"/>
      <c r="AH28" s="3149"/>
      <c r="AI28" s="3149"/>
      <c r="AJ28" s="3149"/>
      <c r="AK28" s="3154">
        <v>44834</v>
      </c>
      <c r="AL28" s="3154">
        <v>44028</v>
      </c>
      <c r="AM28" s="3149"/>
      <c r="AN28" s="3149"/>
      <c r="AO28" s="3149"/>
      <c r="AP28" s="3149"/>
      <c r="AQ28" s="3149"/>
      <c r="AR28" s="3149"/>
      <c r="AS28" s="3149"/>
      <c r="AT28" s="3149"/>
    </row>
    <row r="29" spans="1:46" ht="33.75">
      <c r="A29" s="3149">
        <v>21</v>
      </c>
      <c r="B29" s="3149" t="s">
        <v>3488</v>
      </c>
      <c r="C29" s="3149" t="s">
        <v>3489</v>
      </c>
      <c r="D29" s="3149" t="s">
        <v>3490</v>
      </c>
      <c r="E29" s="3149" t="s">
        <v>3491</v>
      </c>
      <c r="F29" s="3149" t="s">
        <v>3538</v>
      </c>
      <c r="G29" s="3149" t="s">
        <v>3493</v>
      </c>
      <c r="H29" s="3149" t="s">
        <v>3509</v>
      </c>
      <c r="I29" s="3149" t="s">
        <v>3495</v>
      </c>
      <c r="J29" s="3149" t="s">
        <v>3389</v>
      </c>
      <c r="K29" s="3149" t="s">
        <v>3496</v>
      </c>
      <c r="L29" s="3150">
        <v>114.02</v>
      </c>
      <c r="M29" s="3150">
        <v>92.93</v>
      </c>
      <c r="N29" s="3161">
        <v>114.02</v>
      </c>
      <c r="O29" s="3150">
        <v>92.93</v>
      </c>
      <c r="P29" s="3151">
        <v>12539.99</v>
      </c>
      <c r="Q29" s="3151">
        <v>15385.88</v>
      </c>
      <c r="R29" s="3151">
        <v>1429810</v>
      </c>
      <c r="S29" s="3151">
        <v>15105.1921</v>
      </c>
      <c r="T29" s="3151">
        <v>18533.240099999999</v>
      </c>
      <c r="U29" s="3151">
        <v>1722294</v>
      </c>
      <c r="V29" s="3153"/>
      <c r="W29" s="3153"/>
      <c r="X29" s="3153"/>
      <c r="Y29" s="3153"/>
      <c r="Z29" s="3152">
        <v>0</v>
      </c>
      <c r="AA29" s="3153"/>
      <c r="AB29" s="3151">
        <v>0</v>
      </c>
      <c r="AC29" s="3154">
        <v>44028</v>
      </c>
      <c r="AD29" s="3154">
        <v>44434.607160497682</v>
      </c>
      <c r="AE29" s="3154">
        <v>44090.402999074075</v>
      </c>
      <c r="AF29" s="3149"/>
      <c r="AG29" s="3149"/>
      <c r="AH29" s="3149"/>
      <c r="AI29" s="3149"/>
      <c r="AJ29" s="3149"/>
      <c r="AK29" s="3149"/>
      <c r="AL29" s="3154">
        <v>44028</v>
      </c>
      <c r="AM29" s="3149"/>
      <c r="AN29" s="3149"/>
      <c r="AO29" s="3149"/>
      <c r="AP29" s="3149"/>
      <c r="AQ29" s="3149"/>
      <c r="AR29" s="3149"/>
      <c r="AS29" s="3149"/>
      <c r="AT29" s="3149"/>
    </row>
    <row r="30" spans="1:46" ht="33.75">
      <c r="A30" s="3149">
        <v>22</v>
      </c>
      <c r="B30" s="3149" t="s">
        <v>3488</v>
      </c>
      <c r="C30" s="3149" t="s">
        <v>3489</v>
      </c>
      <c r="D30" s="3149" t="s">
        <v>3490</v>
      </c>
      <c r="E30" s="3149" t="s">
        <v>3491</v>
      </c>
      <c r="F30" s="3149" t="s">
        <v>3538</v>
      </c>
      <c r="G30" s="3149" t="s">
        <v>3502</v>
      </c>
      <c r="H30" s="3149" t="s">
        <v>3494</v>
      </c>
      <c r="I30" s="3149" t="s">
        <v>3495</v>
      </c>
      <c r="J30" s="3149" t="s">
        <v>3389</v>
      </c>
      <c r="K30" s="3149" t="s">
        <v>3496</v>
      </c>
      <c r="L30" s="3150">
        <v>114.02</v>
      </c>
      <c r="M30" s="3150">
        <v>92.93</v>
      </c>
      <c r="N30" s="3161">
        <v>114.02</v>
      </c>
      <c r="O30" s="3150">
        <v>92.93</v>
      </c>
      <c r="P30" s="3151">
        <v>12539.99</v>
      </c>
      <c r="Q30" s="3151">
        <v>15385.88</v>
      </c>
      <c r="R30" s="3151">
        <v>1429810</v>
      </c>
      <c r="S30" s="3151">
        <v>15105.1921</v>
      </c>
      <c r="T30" s="3151">
        <v>18533.240099999999</v>
      </c>
      <c r="U30" s="3151">
        <v>1722294</v>
      </c>
      <c r="V30" s="3151">
        <v>13900</v>
      </c>
      <c r="W30" s="3151">
        <v>17054.54</v>
      </c>
      <c r="X30" s="3151">
        <v>1584878</v>
      </c>
      <c r="Y30" s="3152">
        <v>1584878</v>
      </c>
      <c r="Z30" s="3152">
        <v>0</v>
      </c>
      <c r="AA30" s="3153"/>
      <c r="AB30" s="3151">
        <v>1584878</v>
      </c>
      <c r="AC30" s="3154">
        <v>44028</v>
      </c>
      <c r="AD30" s="3154">
        <v>44089.755273182869</v>
      </c>
      <c r="AE30" s="3154">
        <v>44090.402999074075</v>
      </c>
      <c r="AF30" s="3154">
        <v>44169</v>
      </c>
      <c r="AG30" s="3154">
        <v>44169</v>
      </c>
      <c r="AH30" s="3154">
        <v>44202</v>
      </c>
      <c r="AI30" s="3154">
        <v>44207</v>
      </c>
      <c r="AJ30" s="3154">
        <v>44834</v>
      </c>
      <c r="AK30" s="3154">
        <v>44834</v>
      </c>
      <c r="AL30" s="3154">
        <v>44028</v>
      </c>
      <c r="AM30" s="3149" t="s">
        <v>3416</v>
      </c>
      <c r="AN30" s="3149" t="s">
        <v>3539</v>
      </c>
      <c r="AO30" s="3149" t="s">
        <v>3540</v>
      </c>
      <c r="AP30" s="3149" t="s">
        <v>3499</v>
      </c>
      <c r="AQ30" s="3149" t="s">
        <v>3499</v>
      </c>
      <c r="AR30" s="3149" t="s">
        <v>3500</v>
      </c>
      <c r="AS30" s="3149" t="s">
        <v>3519</v>
      </c>
      <c r="AT30" s="3149"/>
    </row>
    <row r="31" spans="1:46" ht="33.75">
      <c r="A31" s="3149">
        <v>23</v>
      </c>
      <c r="B31" s="3149" t="s">
        <v>3488</v>
      </c>
      <c r="C31" s="3149" t="s">
        <v>3489</v>
      </c>
      <c r="D31" s="3149" t="s">
        <v>3490</v>
      </c>
      <c r="E31" s="3149" t="s">
        <v>3491</v>
      </c>
      <c r="F31" s="3149" t="s">
        <v>3538</v>
      </c>
      <c r="G31" s="3149" t="s">
        <v>3508</v>
      </c>
      <c r="H31" s="3149" t="s">
        <v>3509</v>
      </c>
      <c r="I31" s="3149" t="s">
        <v>3495</v>
      </c>
      <c r="J31" s="3149" t="s">
        <v>3389</v>
      </c>
      <c r="K31" s="3149" t="s">
        <v>3496</v>
      </c>
      <c r="L31" s="3150">
        <v>114.02</v>
      </c>
      <c r="M31" s="3150">
        <v>92.93</v>
      </c>
      <c r="N31" s="3161">
        <v>114.02</v>
      </c>
      <c r="O31" s="3150">
        <v>92.93</v>
      </c>
      <c r="P31" s="3151">
        <v>4300</v>
      </c>
      <c r="Q31" s="3151">
        <v>5275.86</v>
      </c>
      <c r="R31" s="3151">
        <v>490286</v>
      </c>
      <c r="S31" s="3151">
        <v>4300</v>
      </c>
      <c r="T31" s="3151">
        <v>5275.8635999999997</v>
      </c>
      <c r="U31" s="3151">
        <v>490286</v>
      </c>
      <c r="V31" s="3153"/>
      <c r="W31" s="3153"/>
      <c r="X31" s="3153"/>
      <c r="Y31" s="3153"/>
      <c r="Z31" s="3152">
        <v>0</v>
      </c>
      <c r="AA31" s="3153"/>
      <c r="AB31" s="3151">
        <v>0</v>
      </c>
      <c r="AC31" s="3154">
        <v>44028</v>
      </c>
      <c r="AD31" s="3154">
        <v>45264.773614039354</v>
      </c>
      <c r="AE31" s="3154">
        <v>44090.402999074075</v>
      </c>
      <c r="AF31" s="3149"/>
      <c r="AG31" s="3149"/>
      <c r="AH31" s="3149"/>
      <c r="AI31" s="3149"/>
      <c r="AJ31" s="3149"/>
      <c r="AK31" s="3154">
        <v>44834</v>
      </c>
      <c r="AL31" s="3154">
        <v>44028</v>
      </c>
      <c r="AM31" s="3149"/>
      <c r="AN31" s="3149"/>
      <c r="AO31" s="3149"/>
      <c r="AP31" s="3149"/>
      <c r="AQ31" s="3149"/>
      <c r="AR31" s="3149"/>
      <c r="AS31" s="3149"/>
      <c r="AT31" s="3149"/>
    </row>
    <row r="32" spans="1:46" ht="33.75">
      <c r="A32" s="3149">
        <v>24</v>
      </c>
      <c r="B32" s="3149" t="s">
        <v>3488</v>
      </c>
      <c r="C32" s="3149" t="s">
        <v>3489</v>
      </c>
      <c r="D32" s="3149" t="s">
        <v>3490</v>
      </c>
      <c r="E32" s="3149" t="s">
        <v>3491</v>
      </c>
      <c r="F32" s="3149" t="s">
        <v>3538</v>
      </c>
      <c r="G32" s="3149" t="s">
        <v>3510</v>
      </c>
      <c r="H32" s="3149" t="s">
        <v>3509</v>
      </c>
      <c r="I32" s="3149" t="s">
        <v>3495</v>
      </c>
      <c r="J32" s="3149" t="s">
        <v>3389</v>
      </c>
      <c r="K32" s="3149" t="s">
        <v>3496</v>
      </c>
      <c r="L32" s="3150">
        <v>114.02</v>
      </c>
      <c r="M32" s="3150">
        <v>92.93</v>
      </c>
      <c r="N32" s="3161">
        <v>114.02</v>
      </c>
      <c r="O32" s="3150">
        <v>92.93</v>
      </c>
      <c r="P32" s="3151">
        <v>4300</v>
      </c>
      <c r="Q32" s="3151">
        <v>5275.86</v>
      </c>
      <c r="R32" s="3151">
        <v>490286</v>
      </c>
      <c r="S32" s="3151">
        <v>4300</v>
      </c>
      <c r="T32" s="3151">
        <v>5275.8635999999997</v>
      </c>
      <c r="U32" s="3151">
        <v>490286</v>
      </c>
      <c r="V32" s="3153"/>
      <c r="W32" s="3153"/>
      <c r="X32" s="3153"/>
      <c r="Y32" s="3153"/>
      <c r="Z32" s="3152">
        <v>0</v>
      </c>
      <c r="AA32" s="3153"/>
      <c r="AB32" s="3151">
        <v>0</v>
      </c>
      <c r="AC32" s="3154">
        <v>44028</v>
      </c>
      <c r="AD32" s="3154">
        <v>45264.773614039354</v>
      </c>
      <c r="AE32" s="3154">
        <v>44090.402999074075</v>
      </c>
      <c r="AF32" s="3149"/>
      <c r="AG32" s="3149"/>
      <c r="AH32" s="3149"/>
      <c r="AI32" s="3149"/>
      <c r="AJ32" s="3149"/>
      <c r="AK32" s="3154">
        <v>44834</v>
      </c>
      <c r="AL32" s="3154">
        <v>44028</v>
      </c>
      <c r="AM32" s="3149"/>
      <c r="AN32" s="3149"/>
      <c r="AO32" s="3149"/>
      <c r="AP32" s="3149"/>
      <c r="AQ32" s="3149"/>
      <c r="AR32" s="3149"/>
      <c r="AS32" s="3149"/>
      <c r="AT32" s="3149"/>
    </row>
    <row r="33" spans="1:46" ht="33.75">
      <c r="A33" s="3149">
        <v>25</v>
      </c>
      <c r="B33" s="3149" t="s">
        <v>3488</v>
      </c>
      <c r="C33" s="3149" t="s">
        <v>3489</v>
      </c>
      <c r="D33" s="3149" t="s">
        <v>3490</v>
      </c>
      <c r="E33" s="3149" t="s">
        <v>3491</v>
      </c>
      <c r="F33" s="3149" t="s">
        <v>3538</v>
      </c>
      <c r="G33" s="3149" t="s">
        <v>3511</v>
      </c>
      <c r="H33" s="3149" t="s">
        <v>3509</v>
      </c>
      <c r="I33" s="3149" t="s">
        <v>3495</v>
      </c>
      <c r="J33" s="3149" t="s">
        <v>3389</v>
      </c>
      <c r="K33" s="3149" t="s">
        <v>3496</v>
      </c>
      <c r="L33" s="3150">
        <v>114.02</v>
      </c>
      <c r="M33" s="3150">
        <v>92.93</v>
      </c>
      <c r="N33" s="3161">
        <v>114.02</v>
      </c>
      <c r="O33" s="3150">
        <v>92.93</v>
      </c>
      <c r="P33" s="3151">
        <v>4350</v>
      </c>
      <c r="Q33" s="3151">
        <v>5337.21</v>
      </c>
      <c r="R33" s="3151">
        <v>495987</v>
      </c>
      <c r="S33" s="3151">
        <v>4350</v>
      </c>
      <c r="T33" s="3151">
        <v>5337.2107999999998</v>
      </c>
      <c r="U33" s="3151">
        <v>495987</v>
      </c>
      <c r="V33" s="3153"/>
      <c r="W33" s="3153"/>
      <c r="X33" s="3153"/>
      <c r="Y33" s="3153"/>
      <c r="Z33" s="3152">
        <v>0</v>
      </c>
      <c r="AA33" s="3153"/>
      <c r="AB33" s="3151">
        <v>0</v>
      </c>
      <c r="AC33" s="3154">
        <v>44028</v>
      </c>
      <c r="AD33" s="3154">
        <v>45264.773614039354</v>
      </c>
      <c r="AE33" s="3154">
        <v>44090.402999074075</v>
      </c>
      <c r="AF33" s="3149"/>
      <c r="AG33" s="3149"/>
      <c r="AH33" s="3149"/>
      <c r="AI33" s="3149"/>
      <c r="AJ33" s="3149"/>
      <c r="AK33" s="3154">
        <v>44834</v>
      </c>
      <c r="AL33" s="3154">
        <v>44028</v>
      </c>
      <c r="AM33" s="3149"/>
      <c r="AN33" s="3149"/>
      <c r="AO33" s="3149"/>
      <c r="AP33" s="3149"/>
      <c r="AQ33" s="3149"/>
      <c r="AR33" s="3149"/>
      <c r="AS33" s="3149"/>
      <c r="AT33" s="3149"/>
    </row>
    <row r="34" spans="1:46" ht="33.75">
      <c r="A34" s="3149">
        <v>26</v>
      </c>
      <c r="B34" s="3149" t="s">
        <v>3488</v>
      </c>
      <c r="C34" s="3149" t="s">
        <v>3489</v>
      </c>
      <c r="D34" s="3149" t="s">
        <v>3490</v>
      </c>
      <c r="E34" s="3149" t="s">
        <v>3491</v>
      </c>
      <c r="F34" s="3149" t="s">
        <v>3538</v>
      </c>
      <c r="G34" s="3149" t="s">
        <v>3512</v>
      </c>
      <c r="H34" s="3149" t="s">
        <v>3509</v>
      </c>
      <c r="I34" s="3149" t="s">
        <v>3495</v>
      </c>
      <c r="J34" s="3149" t="s">
        <v>3389</v>
      </c>
      <c r="K34" s="3149" t="s">
        <v>3496</v>
      </c>
      <c r="L34" s="3150">
        <v>114.02</v>
      </c>
      <c r="M34" s="3150">
        <v>92.93</v>
      </c>
      <c r="N34" s="3161">
        <v>114.02</v>
      </c>
      <c r="O34" s="3150">
        <v>92.93</v>
      </c>
      <c r="P34" s="3151">
        <v>4350</v>
      </c>
      <c r="Q34" s="3151">
        <v>5337.21</v>
      </c>
      <c r="R34" s="3151">
        <v>495987</v>
      </c>
      <c r="S34" s="3151">
        <v>4350</v>
      </c>
      <c r="T34" s="3151">
        <v>5337.2107999999998</v>
      </c>
      <c r="U34" s="3151">
        <v>495987</v>
      </c>
      <c r="V34" s="3153"/>
      <c r="W34" s="3153"/>
      <c r="X34" s="3153"/>
      <c r="Y34" s="3153"/>
      <c r="Z34" s="3152">
        <v>0</v>
      </c>
      <c r="AA34" s="3153"/>
      <c r="AB34" s="3151">
        <v>0</v>
      </c>
      <c r="AC34" s="3154">
        <v>44028</v>
      </c>
      <c r="AD34" s="3154">
        <v>45264.773614039354</v>
      </c>
      <c r="AE34" s="3154">
        <v>44090.402999074075</v>
      </c>
      <c r="AF34" s="3149"/>
      <c r="AG34" s="3149"/>
      <c r="AH34" s="3149"/>
      <c r="AI34" s="3149"/>
      <c r="AJ34" s="3149"/>
      <c r="AK34" s="3154">
        <v>44834</v>
      </c>
      <c r="AL34" s="3154">
        <v>44028</v>
      </c>
      <c r="AM34" s="3149"/>
      <c r="AN34" s="3149"/>
      <c r="AO34" s="3149"/>
      <c r="AP34" s="3149"/>
      <c r="AQ34" s="3149"/>
      <c r="AR34" s="3149"/>
      <c r="AS34" s="3149"/>
      <c r="AT34" s="3149"/>
    </row>
    <row r="35" spans="1:46" ht="33.75">
      <c r="A35" s="3149">
        <v>27</v>
      </c>
      <c r="B35" s="3149" t="s">
        <v>3488</v>
      </c>
      <c r="C35" s="3149" t="s">
        <v>3489</v>
      </c>
      <c r="D35" s="3149" t="s">
        <v>3490</v>
      </c>
      <c r="E35" s="3149" t="s">
        <v>3491</v>
      </c>
      <c r="F35" s="3149" t="s">
        <v>3538</v>
      </c>
      <c r="G35" s="3149" t="s">
        <v>3513</v>
      </c>
      <c r="H35" s="3149" t="s">
        <v>3509</v>
      </c>
      <c r="I35" s="3149" t="s">
        <v>3495</v>
      </c>
      <c r="J35" s="3149" t="s">
        <v>3389</v>
      </c>
      <c r="K35" s="3149" t="s">
        <v>3496</v>
      </c>
      <c r="L35" s="3150">
        <v>114.02</v>
      </c>
      <c r="M35" s="3150">
        <v>92.93</v>
      </c>
      <c r="N35" s="3161">
        <v>114.02</v>
      </c>
      <c r="O35" s="3150">
        <v>92.93</v>
      </c>
      <c r="P35" s="3151">
        <v>4400</v>
      </c>
      <c r="Q35" s="3151">
        <v>5398.56</v>
      </c>
      <c r="R35" s="3151">
        <v>501688</v>
      </c>
      <c r="S35" s="3151">
        <v>4400</v>
      </c>
      <c r="T35" s="3151">
        <v>5398.5581000000002</v>
      </c>
      <c r="U35" s="3151">
        <v>501688</v>
      </c>
      <c r="V35" s="3153"/>
      <c r="W35" s="3153"/>
      <c r="X35" s="3153"/>
      <c r="Y35" s="3153"/>
      <c r="Z35" s="3152">
        <v>0</v>
      </c>
      <c r="AA35" s="3153"/>
      <c r="AB35" s="3151">
        <v>0</v>
      </c>
      <c r="AC35" s="3154">
        <v>44028</v>
      </c>
      <c r="AD35" s="3154">
        <v>45264.773614039354</v>
      </c>
      <c r="AE35" s="3154">
        <v>44090.402999074075</v>
      </c>
      <c r="AF35" s="3149"/>
      <c r="AG35" s="3149"/>
      <c r="AH35" s="3149"/>
      <c r="AI35" s="3149"/>
      <c r="AJ35" s="3149"/>
      <c r="AK35" s="3154">
        <v>44834</v>
      </c>
      <c r="AL35" s="3154">
        <v>44028</v>
      </c>
      <c r="AM35" s="3149"/>
      <c r="AN35" s="3149"/>
      <c r="AO35" s="3149"/>
      <c r="AP35" s="3149"/>
      <c r="AQ35" s="3149"/>
      <c r="AR35" s="3149"/>
      <c r="AS35" s="3149"/>
      <c r="AT35" s="3149"/>
    </row>
    <row r="36" spans="1:46" ht="33.75">
      <c r="A36" s="3149">
        <v>28</v>
      </c>
      <c r="B36" s="3149" t="s">
        <v>3488</v>
      </c>
      <c r="C36" s="3149" t="s">
        <v>3489</v>
      </c>
      <c r="D36" s="3149" t="s">
        <v>3490</v>
      </c>
      <c r="E36" s="3149" t="s">
        <v>3491</v>
      </c>
      <c r="F36" s="3149" t="s">
        <v>3538</v>
      </c>
      <c r="G36" s="3149" t="s">
        <v>3514</v>
      </c>
      <c r="H36" s="3149" t="s">
        <v>3509</v>
      </c>
      <c r="I36" s="3149" t="s">
        <v>3495</v>
      </c>
      <c r="J36" s="3149" t="s">
        <v>3389</v>
      </c>
      <c r="K36" s="3149" t="s">
        <v>3496</v>
      </c>
      <c r="L36" s="3150">
        <v>114.02</v>
      </c>
      <c r="M36" s="3150">
        <v>92.93</v>
      </c>
      <c r="N36" s="3161">
        <v>114.02</v>
      </c>
      <c r="O36" s="3150">
        <v>92.93</v>
      </c>
      <c r="P36" s="3151">
        <v>4400</v>
      </c>
      <c r="Q36" s="3151">
        <v>5398.56</v>
      </c>
      <c r="R36" s="3151">
        <v>501688</v>
      </c>
      <c r="S36" s="3151">
        <v>4400</v>
      </c>
      <c r="T36" s="3151">
        <v>5398.5581000000002</v>
      </c>
      <c r="U36" s="3151">
        <v>501688</v>
      </c>
      <c r="V36" s="3153"/>
      <c r="W36" s="3153"/>
      <c r="X36" s="3153"/>
      <c r="Y36" s="3153"/>
      <c r="Z36" s="3152">
        <v>0</v>
      </c>
      <c r="AA36" s="3153"/>
      <c r="AB36" s="3151">
        <v>0</v>
      </c>
      <c r="AC36" s="3154">
        <v>44028</v>
      </c>
      <c r="AD36" s="3154">
        <v>45264.773614039354</v>
      </c>
      <c r="AE36" s="3154">
        <v>44090.402999074075</v>
      </c>
      <c r="AF36" s="3149"/>
      <c r="AG36" s="3149"/>
      <c r="AH36" s="3149"/>
      <c r="AI36" s="3149"/>
      <c r="AJ36" s="3149"/>
      <c r="AK36" s="3154">
        <v>44834</v>
      </c>
      <c r="AL36" s="3154">
        <v>44028</v>
      </c>
      <c r="AM36" s="3149"/>
      <c r="AN36" s="3149"/>
      <c r="AO36" s="3149"/>
      <c r="AP36" s="3149"/>
      <c r="AQ36" s="3149"/>
      <c r="AR36" s="3149"/>
      <c r="AS36" s="3149"/>
      <c r="AT36" s="3149"/>
    </row>
    <row r="37" spans="1:46" ht="33.75">
      <c r="A37" s="3149">
        <v>29</v>
      </c>
      <c r="B37" s="3149" t="s">
        <v>3488</v>
      </c>
      <c r="C37" s="3149" t="s">
        <v>3489</v>
      </c>
      <c r="D37" s="3149" t="s">
        <v>3490</v>
      </c>
      <c r="E37" s="3149" t="s">
        <v>3491</v>
      </c>
      <c r="F37" s="3149" t="s">
        <v>3538</v>
      </c>
      <c r="G37" s="3149" t="s">
        <v>3515</v>
      </c>
      <c r="H37" s="3149" t="s">
        <v>3509</v>
      </c>
      <c r="I37" s="3149" t="s">
        <v>3495</v>
      </c>
      <c r="J37" s="3149" t="s">
        <v>3389</v>
      </c>
      <c r="K37" s="3149" t="s">
        <v>3496</v>
      </c>
      <c r="L37" s="3150">
        <v>114.02</v>
      </c>
      <c r="M37" s="3150">
        <v>92.93</v>
      </c>
      <c r="N37" s="3161">
        <v>114.02</v>
      </c>
      <c r="O37" s="3150">
        <v>92.93</v>
      </c>
      <c r="P37" s="3151">
        <v>4600</v>
      </c>
      <c r="Q37" s="3151">
        <v>5643.95</v>
      </c>
      <c r="R37" s="3151">
        <v>524492</v>
      </c>
      <c r="S37" s="3151">
        <v>4600</v>
      </c>
      <c r="T37" s="3151">
        <v>5643.9471000000003</v>
      </c>
      <c r="U37" s="3151">
        <v>524492</v>
      </c>
      <c r="V37" s="3153"/>
      <c r="W37" s="3153"/>
      <c r="X37" s="3153"/>
      <c r="Y37" s="3153"/>
      <c r="Z37" s="3152">
        <v>0</v>
      </c>
      <c r="AA37" s="3153"/>
      <c r="AB37" s="3151">
        <v>0</v>
      </c>
      <c r="AC37" s="3154">
        <v>44028</v>
      </c>
      <c r="AD37" s="3154">
        <v>45264.773614039354</v>
      </c>
      <c r="AE37" s="3154">
        <v>44090.402999074075</v>
      </c>
      <c r="AF37" s="3149"/>
      <c r="AG37" s="3149"/>
      <c r="AH37" s="3149"/>
      <c r="AI37" s="3149"/>
      <c r="AJ37" s="3149"/>
      <c r="AK37" s="3154">
        <v>44834</v>
      </c>
      <c r="AL37" s="3154">
        <v>44028</v>
      </c>
      <c r="AM37" s="3149"/>
      <c r="AN37" s="3149"/>
      <c r="AO37" s="3149"/>
      <c r="AP37" s="3149"/>
      <c r="AQ37" s="3149"/>
      <c r="AR37" s="3149"/>
      <c r="AS37" s="3149"/>
      <c r="AT37" s="3149"/>
    </row>
    <row r="38" spans="1:46" ht="33.75">
      <c r="A38" s="3149">
        <v>30</v>
      </c>
      <c r="B38" s="3149" t="s">
        <v>3488</v>
      </c>
      <c r="C38" s="3149" t="s">
        <v>3489</v>
      </c>
      <c r="D38" s="3149" t="s">
        <v>3490</v>
      </c>
      <c r="E38" s="3149" t="s">
        <v>3491</v>
      </c>
      <c r="F38" s="3149" t="s">
        <v>3538</v>
      </c>
      <c r="G38" s="3149" t="s">
        <v>3521</v>
      </c>
      <c r="H38" s="3149" t="s">
        <v>3494</v>
      </c>
      <c r="I38" s="3149" t="s">
        <v>3495</v>
      </c>
      <c r="J38" s="3149" t="s">
        <v>3389</v>
      </c>
      <c r="K38" s="3149" t="s">
        <v>3496</v>
      </c>
      <c r="L38" s="3150">
        <v>114.02</v>
      </c>
      <c r="M38" s="3150">
        <v>92.93</v>
      </c>
      <c r="N38" s="3161">
        <v>114.02</v>
      </c>
      <c r="O38" s="3150">
        <v>92.93</v>
      </c>
      <c r="P38" s="3151">
        <v>9157.99</v>
      </c>
      <c r="Q38" s="3151">
        <v>11236.35</v>
      </c>
      <c r="R38" s="3151">
        <v>1044194</v>
      </c>
      <c r="S38" s="3151">
        <v>10676.9339</v>
      </c>
      <c r="T38" s="3151">
        <v>13100.0108</v>
      </c>
      <c r="U38" s="3151">
        <v>1217384</v>
      </c>
      <c r="V38" s="3151">
        <v>9157.99</v>
      </c>
      <c r="W38" s="3151">
        <v>11236.35</v>
      </c>
      <c r="X38" s="3151">
        <v>1044194</v>
      </c>
      <c r="Y38" s="3152">
        <v>1044194</v>
      </c>
      <c r="Z38" s="3152">
        <v>0</v>
      </c>
      <c r="AA38" s="3153"/>
      <c r="AB38" s="3151">
        <v>1044194</v>
      </c>
      <c r="AC38" s="3154">
        <v>44028</v>
      </c>
      <c r="AD38" s="3154">
        <v>44372.487411145834</v>
      </c>
      <c r="AE38" s="3154">
        <v>44090.402999074075</v>
      </c>
      <c r="AF38" s="3154">
        <v>44608</v>
      </c>
      <c r="AG38" s="3154">
        <v>44608</v>
      </c>
      <c r="AH38" s="3154">
        <v>45226</v>
      </c>
      <c r="AI38" s="3149"/>
      <c r="AJ38" s="3154">
        <v>45199</v>
      </c>
      <c r="AK38" s="3154">
        <v>44834</v>
      </c>
      <c r="AL38" s="3154">
        <v>44028</v>
      </c>
      <c r="AM38" s="3149" t="s">
        <v>3516</v>
      </c>
      <c r="AN38" s="3149" t="s">
        <v>3541</v>
      </c>
      <c r="AO38" s="3149" t="s">
        <v>3540</v>
      </c>
      <c r="AP38" s="3149" t="s">
        <v>3499</v>
      </c>
      <c r="AQ38" s="3149" t="s">
        <v>3499</v>
      </c>
      <c r="AR38" s="3149" t="s">
        <v>3519</v>
      </c>
      <c r="AS38" s="3149" t="s">
        <v>3520</v>
      </c>
      <c r="AT38" s="3149"/>
    </row>
    <row r="39" spans="1:46" ht="33.75">
      <c r="A39" s="3149">
        <v>31</v>
      </c>
      <c r="B39" s="3149" t="s">
        <v>3488</v>
      </c>
      <c r="C39" s="3149" t="s">
        <v>3489</v>
      </c>
      <c r="D39" s="3149" t="s">
        <v>3490</v>
      </c>
      <c r="E39" s="3149" t="s">
        <v>3491</v>
      </c>
      <c r="F39" s="3149" t="s">
        <v>3538</v>
      </c>
      <c r="G39" s="3149" t="s">
        <v>3522</v>
      </c>
      <c r="H39" s="3149" t="s">
        <v>3494</v>
      </c>
      <c r="I39" s="3149" t="s">
        <v>3495</v>
      </c>
      <c r="J39" s="3149" t="s">
        <v>3389</v>
      </c>
      <c r="K39" s="3149" t="s">
        <v>3496</v>
      </c>
      <c r="L39" s="3150">
        <v>114.02</v>
      </c>
      <c r="M39" s="3150">
        <v>92.93</v>
      </c>
      <c r="N39" s="3161">
        <v>114.02</v>
      </c>
      <c r="O39" s="3150">
        <v>92.93</v>
      </c>
      <c r="P39" s="3151">
        <v>9157.99</v>
      </c>
      <c r="Q39" s="3151">
        <v>11236.35</v>
      </c>
      <c r="R39" s="3151">
        <v>1044194</v>
      </c>
      <c r="S39" s="3151">
        <v>10676.9339</v>
      </c>
      <c r="T39" s="3151">
        <v>13100.0108</v>
      </c>
      <c r="U39" s="3151">
        <v>1217384</v>
      </c>
      <c r="V39" s="3151">
        <v>9157.99</v>
      </c>
      <c r="W39" s="3151">
        <v>11236.35</v>
      </c>
      <c r="X39" s="3151">
        <v>1044194</v>
      </c>
      <c r="Y39" s="3152">
        <v>1044194</v>
      </c>
      <c r="Z39" s="3152">
        <v>0</v>
      </c>
      <c r="AA39" s="3153"/>
      <c r="AB39" s="3151">
        <v>1044194</v>
      </c>
      <c r="AC39" s="3154">
        <v>44028</v>
      </c>
      <c r="AD39" s="3154">
        <v>44372.487411145834</v>
      </c>
      <c r="AE39" s="3154">
        <v>44090.402999074075</v>
      </c>
      <c r="AF39" s="3154">
        <v>44394</v>
      </c>
      <c r="AG39" s="3154">
        <v>44394</v>
      </c>
      <c r="AH39" s="3154">
        <v>45054</v>
      </c>
      <c r="AI39" s="3149"/>
      <c r="AJ39" s="3154">
        <v>45199</v>
      </c>
      <c r="AK39" s="3154">
        <v>44834</v>
      </c>
      <c r="AL39" s="3154">
        <v>44028</v>
      </c>
      <c r="AM39" s="3149" t="s">
        <v>3516</v>
      </c>
      <c r="AN39" s="3149" t="s">
        <v>3542</v>
      </c>
      <c r="AO39" s="3149" t="s">
        <v>3498</v>
      </c>
      <c r="AP39" s="3149" t="s">
        <v>3499</v>
      </c>
      <c r="AQ39" s="3149" t="s">
        <v>3499</v>
      </c>
      <c r="AR39" s="3149" t="s">
        <v>3519</v>
      </c>
      <c r="AS39" s="3149" t="s">
        <v>3520</v>
      </c>
      <c r="AT39" s="3149"/>
    </row>
    <row r="40" spans="1:46" ht="33.75">
      <c r="A40" s="3149">
        <v>32</v>
      </c>
      <c r="B40" s="3149" t="s">
        <v>3488</v>
      </c>
      <c r="C40" s="3149" t="s">
        <v>3489</v>
      </c>
      <c r="D40" s="3149" t="s">
        <v>3490</v>
      </c>
      <c r="E40" s="3149" t="s">
        <v>3491</v>
      </c>
      <c r="F40" s="3149" t="s">
        <v>3538</v>
      </c>
      <c r="G40" s="3149" t="s">
        <v>3523</v>
      </c>
      <c r="H40" s="3149" t="s">
        <v>3494</v>
      </c>
      <c r="I40" s="3149" t="s">
        <v>3495</v>
      </c>
      <c r="J40" s="3149" t="s">
        <v>3389</v>
      </c>
      <c r="K40" s="3149" t="s">
        <v>3496</v>
      </c>
      <c r="L40" s="3150">
        <v>114.02</v>
      </c>
      <c r="M40" s="3150">
        <v>92.93</v>
      </c>
      <c r="N40" s="3161">
        <v>114.02</v>
      </c>
      <c r="O40" s="3150">
        <v>92.93</v>
      </c>
      <c r="P40" s="3151">
        <v>9157.99</v>
      </c>
      <c r="Q40" s="3151">
        <v>11236.35</v>
      </c>
      <c r="R40" s="3151">
        <v>1044194</v>
      </c>
      <c r="S40" s="3151">
        <v>10676.9339</v>
      </c>
      <c r="T40" s="3151">
        <v>13100.0108</v>
      </c>
      <c r="U40" s="3151">
        <v>1217384</v>
      </c>
      <c r="V40" s="3151">
        <v>9157.99</v>
      </c>
      <c r="W40" s="3151">
        <v>11236.35</v>
      </c>
      <c r="X40" s="3151">
        <v>1044194</v>
      </c>
      <c r="Y40" s="3152">
        <v>1044194</v>
      </c>
      <c r="Z40" s="3152">
        <v>0</v>
      </c>
      <c r="AA40" s="3153"/>
      <c r="AB40" s="3151">
        <v>1044194</v>
      </c>
      <c r="AC40" s="3154">
        <v>44028</v>
      </c>
      <c r="AD40" s="3154">
        <v>44372.487411145834</v>
      </c>
      <c r="AE40" s="3154">
        <v>44090.402999074075</v>
      </c>
      <c r="AF40" s="3154">
        <v>44394</v>
      </c>
      <c r="AG40" s="3154">
        <v>44394</v>
      </c>
      <c r="AH40" s="3149"/>
      <c r="AI40" s="3149"/>
      <c r="AJ40" s="3154">
        <v>45199</v>
      </c>
      <c r="AK40" s="3154">
        <v>44834</v>
      </c>
      <c r="AL40" s="3154">
        <v>44028</v>
      </c>
      <c r="AM40" s="3149" t="s">
        <v>3516</v>
      </c>
      <c r="AN40" s="3149" t="s">
        <v>3543</v>
      </c>
      <c r="AO40" s="3149" t="s">
        <v>3498</v>
      </c>
      <c r="AP40" s="3149" t="s">
        <v>3499</v>
      </c>
      <c r="AQ40" s="3149" t="s">
        <v>3499</v>
      </c>
      <c r="AR40" s="3149" t="s">
        <v>3519</v>
      </c>
      <c r="AS40" s="3149" t="s">
        <v>3520</v>
      </c>
      <c r="AT40" s="3149"/>
    </row>
    <row r="41" spans="1:46" ht="33.75">
      <c r="A41" s="3149">
        <v>33</v>
      </c>
      <c r="B41" s="3149" t="s">
        <v>3488</v>
      </c>
      <c r="C41" s="3149" t="s">
        <v>3489</v>
      </c>
      <c r="D41" s="3149" t="s">
        <v>3490</v>
      </c>
      <c r="E41" s="3149" t="s">
        <v>3491</v>
      </c>
      <c r="F41" s="3149" t="s">
        <v>3538</v>
      </c>
      <c r="G41" s="3149" t="s">
        <v>3525</v>
      </c>
      <c r="H41" s="3149" t="s">
        <v>3494</v>
      </c>
      <c r="I41" s="3149" t="s">
        <v>3495</v>
      </c>
      <c r="J41" s="3149" t="s">
        <v>3389</v>
      </c>
      <c r="K41" s="3149" t="s">
        <v>3496</v>
      </c>
      <c r="L41" s="3150">
        <v>114.02</v>
      </c>
      <c r="M41" s="3150">
        <v>92.93</v>
      </c>
      <c r="N41" s="3161">
        <v>114.02</v>
      </c>
      <c r="O41" s="3150">
        <v>92.93</v>
      </c>
      <c r="P41" s="3151">
        <v>9157.99</v>
      </c>
      <c r="Q41" s="3151">
        <v>11236.35</v>
      </c>
      <c r="R41" s="3151">
        <v>1044194</v>
      </c>
      <c r="S41" s="3151">
        <v>10676.9339</v>
      </c>
      <c r="T41" s="3151">
        <v>13100.0108</v>
      </c>
      <c r="U41" s="3151">
        <v>1217384</v>
      </c>
      <c r="V41" s="3151">
        <v>9157.99</v>
      </c>
      <c r="W41" s="3151">
        <v>11236.35</v>
      </c>
      <c r="X41" s="3151">
        <v>1044194</v>
      </c>
      <c r="Y41" s="3152">
        <v>1044194</v>
      </c>
      <c r="Z41" s="3152">
        <v>0</v>
      </c>
      <c r="AA41" s="3153"/>
      <c r="AB41" s="3151">
        <v>1044194</v>
      </c>
      <c r="AC41" s="3154">
        <v>44028</v>
      </c>
      <c r="AD41" s="3154">
        <v>44372.487411145834</v>
      </c>
      <c r="AE41" s="3154">
        <v>44090.402999074075</v>
      </c>
      <c r="AF41" s="3154">
        <v>44469</v>
      </c>
      <c r="AG41" s="3154">
        <v>44469</v>
      </c>
      <c r="AH41" s="3149"/>
      <c r="AI41" s="3149"/>
      <c r="AJ41" s="3154">
        <v>45199</v>
      </c>
      <c r="AK41" s="3154">
        <v>44834</v>
      </c>
      <c r="AL41" s="3154">
        <v>44028</v>
      </c>
      <c r="AM41" s="3149" t="s">
        <v>3516</v>
      </c>
      <c r="AN41" s="3149" t="s">
        <v>3544</v>
      </c>
      <c r="AO41" s="3149" t="s">
        <v>3504</v>
      </c>
      <c r="AP41" s="3149" t="s">
        <v>3499</v>
      </c>
      <c r="AQ41" s="3149" t="s">
        <v>3499</v>
      </c>
      <c r="AR41" s="3149" t="s">
        <v>3519</v>
      </c>
      <c r="AS41" s="3149" t="s">
        <v>3520</v>
      </c>
      <c r="AT41" s="3149"/>
    </row>
    <row r="42" spans="1:46" ht="33.75">
      <c r="A42" s="3149">
        <v>34</v>
      </c>
      <c r="B42" s="3149" t="s">
        <v>3488</v>
      </c>
      <c r="C42" s="3149" t="s">
        <v>3489</v>
      </c>
      <c r="D42" s="3149" t="s">
        <v>3490</v>
      </c>
      <c r="E42" s="3149" t="s">
        <v>3491</v>
      </c>
      <c r="F42" s="3149" t="s">
        <v>3538</v>
      </c>
      <c r="G42" s="3149" t="s">
        <v>3528</v>
      </c>
      <c r="H42" s="3149" t="s">
        <v>3494</v>
      </c>
      <c r="I42" s="3149" t="s">
        <v>3495</v>
      </c>
      <c r="J42" s="3149" t="s">
        <v>3389</v>
      </c>
      <c r="K42" s="3149" t="s">
        <v>3496</v>
      </c>
      <c r="L42" s="3150">
        <v>114.02</v>
      </c>
      <c r="M42" s="3150">
        <v>92.93</v>
      </c>
      <c r="N42" s="3161">
        <v>114.02</v>
      </c>
      <c r="O42" s="3150">
        <v>92.93</v>
      </c>
      <c r="P42" s="3151">
        <v>9157.99</v>
      </c>
      <c r="Q42" s="3151">
        <v>11236.35</v>
      </c>
      <c r="R42" s="3151">
        <v>1044194</v>
      </c>
      <c r="S42" s="3151">
        <v>10676.9339</v>
      </c>
      <c r="T42" s="3151">
        <v>13100.0108</v>
      </c>
      <c r="U42" s="3151">
        <v>1217384</v>
      </c>
      <c r="V42" s="3151">
        <v>9157.99</v>
      </c>
      <c r="W42" s="3151">
        <v>11236.35</v>
      </c>
      <c r="X42" s="3151">
        <v>1044194</v>
      </c>
      <c r="Y42" s="3152">
        <v>1044194</v>
      </c>
      <c r="Z42" s="3152">
        <v>0</v>
      </c>
      <c r="AA42" s="3153"/>
      <c r="AB42" s="3151">
        <v>1044194</v>
      </c>
      <c r="AC42" s="3154">
        <v>44028</v>
      </c>
      <c r="AD42" s="3154">
        <v>44372.487411145834</v>
      </c>
      <c r="AE42" s="3154">
        <v>44090.402999074075</v>
      </c>
      <c r="AF42" s="3154">
        <v>44469</v>
      </c>
      <c r="AG42" s="3154">
        <v>44469</v>
      </c>
      <c r="AH42" s="3149"/>
      <c r="AI42" s="3149"/>
      <c r="AJ42" s="3154">
        <v>45199</v>
      </c>
      <c r="AK42" s="3154">
        <v>44834</v>
      </c>
      <c r="AL42" s="3154">
        <v>44028</v>
      </c>
      <c r="AM42" s="3149" t="s">
        <v>3516</v>
      </c>
      <c r="AN42" s="3149" t="s">
        <v>3543</v>
      </c>
      <c r="AO42" s="3149" t="s">
        <v>3504</v>
      </c>
      <c r="AP42" s="3149" t="s">
        <v>3499</v>
      </c>
      <c r="AQ42" s="3149" t="s">
        <v>3499</v>
      </c>
      <c r="AR42" s="3149" t="s">
        <v>3519</v>
      </c>
      <c r="AS42" s="3149" t="s">
        <v>3520</v>
      </c>
      <c r="AT42" s="3149"/>
    </row>
    <row r="43" spans="1:46" ht="33.75">
      <c r="A43" s="3149">
        <v>35</v>
      </c>
      <c r="B43" s="3149" t="s">
        <v>3488</v>
      </c>
      <c r="C43" s="3149" t="s">
        <v>3489</v>
      </c>
      <c r="D43" s="3149" t="s">
        <v>3490</v>
      </c>
      <c r="E43" s="3149" t="s">
        <v>3491</v>
      </c>
      <c r="F43" s="3149" t="s">
        <v>3538</v>
      </c>
      <c r="G43" s="3149" t="s">
        <v>3529</v>
      </c>
      <c r="H43" s="3149" t="s">
        <v>3509</v>
      </c>
      <c r="I43" s="3149" t="s">
        <v>3495</v>
      </c>
      <c r="J43" s="3149" t="s">
        <v>3389</v>
      </c>
      <c r="K43" s="3149" t="s">
        <v>3496</v>
      </c>
      <c r="L43" s="3150">
        <v>114.02</v>
      </c>
      <c r="M43" s="3150">
        <v>92.93</v>
      </c>
      <c r="N43" s="3161">
        <v>114.02</v>
      </c>
      <c r="O43" s="3150">
        <v>92.93</v>
      </c>
      <c r="P43" s="3151">
        <v>4800</v>
      </c>
      <c r="Q43" s="3151">
        <v>5889.34</v>
      </c>
      <c r="R43" s="3151">
        <v>547296</v>
      </c>
      <c r="S43" s="3151">
        <v>4800</v>
      </c>
      <c r="T43" s="3151">
        <v>5889.3361000000004</v>
      </c>
      <c r="U43" s="3151">
        <v>547296</v>
      </c>
      <c r="V43" s="3153"/>
      <c r="W43" s="3153"/>
      <c r="X43" s="3153"/>
      <c r="Y43" s="3153"/>
      <c r="Z43" s="3152">
        <v>0</v>
      </c>
      <c r="AA43" s="3153"/>
      <c r="AB43" s="3151">
        <v>0</v>
      </c>
      <c r="AC43" s="3154">
        <v>44028</v>
      </c>
      <c r="AD43" s="3154">
        <v>45264.773614039354</v>
      </c>
      <c r="AE43" s="3154">
        <v>44090.402999074075</v>
      </c>
      <c r="AF43" s="3149"/>
      <c r="AG43" s="3149"/>
      <c r="AH43" s="3149"/>
      <c r="AI43" s="3149"/>
      <c r="AJ43" s="3149"/>
      <c r="AK43" s="3154">
        <v>44834</v>
      </c>
      <c r="AL43" s="3154">
        <v>44028</v>
      </c>
      <c r="AM43" s="3149"/>
      <c r="AN43" s="3149"/>
      <c r="AO43" s="3149"/>
      <c r="AP43" s="3149"/>
      <c r="AQ43" s="3149"/>
      <c r="AR43" s="3149"/>
      <c r="AS43" s="3149"/>
      <c r="AT43" s="3149"/>
    </row>
    <row r="44" spans="1:46" ht="33.75">
      <c r="A44" s="3149">
        <v>36</v>
      </c>
      <c r="B44" s="3149" t="s">
        <v>3488</v>
      </c>
      <c r="C44" s="3149" t="s">
        <v>3489</v>
      </c>
      <c r="D44" s="3149" t="s">
        <v>3490</v>
      </c>
      <c r="E44" s="3149" t="s">
        <v>3491</v>
      </c>
      <c r="F44" s="3149" t="s">
        <v>3538</v>
      </c>
      <c r="G44" s="3149" t="s">
        <v>3530</v>
      </c>
      <c r="H44" s="3149" t="s">
        <v>3509</v>
      </c>
      <c r="I44" s="3149" t="s">
        <v>3495</v>
      </c>
      <c r="J44" s="3149" t="s">
        <v>3389</v>
      </c>
      <c r="K44" s="3149" t="s">
        <v>3496</v>
      </c>
      <c r="L44" s="3150">
        <v>114.02</v>
      </c>
      <c r="M44" s="3150">
        <v>92.93</v>
      </c>
      <c r="N44" s="3161">
        <v>114.02</v>
      </c>
      <c r="O44" s="3150">
        <v>92.93</v>
      </c>
      <c r="P44" s="3151">
        <v>4800</v>
      </c>
      <c r="Q44" s="3151">
        <v>5889.34</v>
      </c>
      <c r="R44" s="3151">
        <v>547296</v>
      </c>
      <c r="S44" s="3151">
        <v>4800</v>
      </c>
      <c r="T44" s="3151">
        <v>5889.3361000000004</v>
      </c>
      <c r="U44" s="3151">
        <v>547296</v>
      </c>
      <c r="V44" s="3153"/>
      <c r="W44" s="3153"/>
      <c r="X44" s="3153"/>
      <c r="Y44" s="3153"/>
      <c r="Z44" s="3152">
        <v>0</v>
      </c>
      <c r="AA44" s="3153"/>
      <c r="AB44" s="3151">
        <v>0</v>
      </c>
      <c r="AC44" s="3154">
        <v>44028</v>
      </c>
      <c r="AD44" s="3154">
        <v>45264.773614039354</v>
      </c>
      <c r="AE44" s="3154">
        <v>44090.402999074075</v>
      </c>
      <c r="AF44" s="3149"/>
      <c r="AG44" s="3149"/>
      <c r="AH44" s="3149"/>
      <c r="AI44" s="3149"/>
      <c r="AJ44" s="3149"/>
      <c r="AK44" s="3154">
        <v>44834</v>
      </c>
      <c r="AL44" s="3154">
        <v>44028</v>
      </c>
      <c r="AM44" s="3149"/>
      <c r="AN44" s="3149"/>
      <c r="AO44" s="3149"/>
      <c r="AP44" s="3149"/>
      <c r="AQ44" s="3149"/>
      <c r="AR44" s="3149"/>
      <c r="AS44" s="3149"/>
      <c r="AT44" s="3149"/>
    </row>
    <row r="45" spans="1:46" ht="33.75">
      <c r="A45" s="3149">
        <v>37</v>
      </c>
      <c r="B45" s="3149" t="s">
        <v>3488</v>
      </c>
      <c r="C45" s="3149" t="s">
        <v>3489</v>
      </c>
      <c r="D45" s="3149" t="s">
        <v>3490</v>
      </c>
      <c r="E45" s="3149" t="s">
        <v>3491</v>
      </c>
      <c r="F45" s="3149" t="s">
        <v>3538</v>
      </c>
      <c r="G45" s="3149" t="s">
        <v>3532</v>
      </c>
      <c r="H45" s="3149" t="s">
        <v>3509</v>
      </c>
      <c r="I45" s="3149" t="s">
        <v>3495</v>
      </c>
      <c r="J45" s="3149" t="s">
        <v>3389</v>
      </c>
      <c r="K45" s="3149" t="s">
        <v>3496</v>
      </c>
      <c r="L45" s="3150">
        <v>114.02</v>
      </c>
      <c r="M45" s="3150">
        <v>92.93</v>
      </c>
      <c r="N45" s="3161">
        <v>114.02</v>
      </c>
      <c r="O45" s="3150">
        <v>92.93</v>
      </c>
      <c r="P45" s="3151">
        <v>4800</v>
      </c>
      <c r="Q45" s="3151">
        <v>5889.34</v>
      </c>
      <c r="R45" s="3151">
        <v>547296</v>
      </c>
      <c r="S45" s="3151">
        <v>4800</v>
      </c>
      <c r="T45" s="3151">
        <v>5889.3361000000004</v>
      </c>
      <c r="U45" s="3151">
        <v>547296</v>
      </c>
      <c r="V45" s="3153"/>
      <c r="W45" s="3153"/>
      <c r="X45" s="3153"/>
      <c r="Y45" s="3153"/>
      <c r="Z45" s="3152">
        <v>0</v>
      </c>
      <c r="AA45" s="3153"/>
      <c r="AB45" s="3151">
        <v>0</v>
      </c>
      <c r="AC45" s="3154">
        <v>44028</v>
      </c>
      <c r="AD45" s="3154">
        <v>45264.773614039354</v>
      </c>
      <c r="AE45" s="3154">
        <v>44090.402999074075</v>
      </c>
      <c r="AF45" s="3149"/>
      <c r="AG45" s="3149"/>
      <c r="AH45" s="3149"/>
      <c r="AI45" s="3149"/>
      <c r="AJ45" s="3149"/>
      <c r="AK45" s="3154">
        <v>44834</v>
      </c>
      <c r="AL45" s="3154">
        <v>44028</v>
      </c>
      <c r="AM45" s="3149"/>
      <c r="AN45" s="3149"/>
      <c r="AO45" s="3149"/>
      <c r="AP45" s="3149"/>
      <c r="AQ45" s="3149"/>
      <c r="AR45" s="3149"/>
      <c r="AS45" s="3149"/>
      <c r="AT45" s="3149"/>
    </row>
    <row r="46" spans="1:46" ht="33.75">
      <c r="A46" s="3149">
        <v>38</v>
      </c>
      <c r="B46" s="3149" t="s">
        <v>3488</v>
      </c>
      <c r="C46" s="3149" t="s">
        <v>3489</v>
      </c>
      <c r="D46" s="3149" t="s">
        <v>3490</v>
      </c>
      <c r="E46" s="3149" t="s">
        <v>3491</v>
      </c>
      <c r="F46" s="3149" t="s">
        <v>3538</v>
      </c>
      <c r="G46" s="3149" t="s">
        <v>3534</v>
      </c>
      <c r="H46" s="3149" t="s">
        <v>3494</v>
      </c>
      <c r="I46" s="3149" t="s">
        <v>3495</v>
      </c>
      <c r="J46" s="3149" t="s">
        <v>3389</v>
      </c>
      <c r="K46" s="3149" t="s">
        <v>3496</v>
      </c>
      <c r="L46" s="3150">
        <v>114.02</v>
      </c>
      <c r="M46" s="3150">
        <v>92.93</v>
      </c>
      <c r="N46" s="3161">
        <v>114.02</v>
      </c>
      <c r="O46" s="3150">
        <v>92.93</v>
      </c>
      <c r="P46" s="3151">
        <v>9157.99</v>
      </c>
      <c r="Q46" s="3151">
        <v>11236.35</v>
      </c>
      <c r="R46" s="3151">
        <v>1044194</v>
      </c>
      <c r="S46" s="3151">
        <v>10676.9339</v>
      </c>
      <c r="T46" s="3151">
        <v>13100.0108</v>
      </c>
      <c r="U46" s="3151">
        <v>1217384</v>
      </c>
      <c r="V46" s="3151">
        <v>9157.99</v>
      </c>
      <c r="W46" s="3151">
        <v>11236.35</v>
      </c>
      <c r="X46" s="3151">
        <v>1044194</v>
      </c>
      <c r="Y46" s="3152">
        <v>1044194</v>
      </c>
      <c r="Z46" s="3152">
        <v>0</v>
      </c>
      <c r="AA46" s="3153"/>
      <c r="AB46" s="3151">
        <v>1044194</v>
      </c>
      <c r="AC46" s="3154">
        <v>44028</v>
      </c>
      <c r="AD46" s="3154">
        <v>44372.487411145834</v>
      </c>
      <c r="AE46" s="3154">
        <v>44090.402999074075</v>
      </c>
      <c r="AF46" s="3154">
        <v>44498</v>
      </c>
      <c r="AG46" s="3154">
        <v>44498</v>
      </c>
      <c r="AH46" s="3149"/>
      <c r="AI46" s="3149"/>
      <c r="AJ46" s="3154">
        <v>45199</v>
      </c>
      <c r="AK46" s="3154">
        <v>44834</v>
      </c>
      <c r="AL46" s="3154">
        <v>44028</v>
      </c>
      <c r="AM46" s="3149" t="s">
        <v>3516</v>
      </c>
      <c r="AN46" s="3149" t="s">
        <v>3545</v>
      </c>
      <c r="AO46" s="3149" t="s">
        <v>3540</v>
      </c>
      <c r="AP46" s="3149" t="s">
        <v>3499</v>
      </c>
      <c r="AQ46" s="3149" t="s">
        <v>3499</v>
      </c>
      <c r="AR46" s="3149" t="s">
        <v>3519</v>
      </c>
      <c r="AS46" s="3149" t="s">
        <v>3520</v>
      </c>
      <c r="AT46" s="3149"/>
    </row>
    <row r="47" spans="1:46" ht="33.75">
      <c r="A47" s="3149">
        <v>39</v>
      </c>
      <c r="B47" s="3149" t="s">
        <v>3488</v>
      </c>
      <c r="C47" s="3149" t="s">
        <v>3489</v>
      </c>
      <c r="D47" s="3149" t="s">
        <v>3490</v>
      </c>
      <c r="E47" s="3149" t="s">
        <v>3491</v>
      </c>
      <c r="F47" s="3149" t="s">
        <v>3538</v>
      </c>
      <c r="G47" s="3149" t="s">
        <v>3536</v>
      </c>
      <c r="H47" s="3149" t="s">
        <v>3509</v>
      </c>
      <c r="I47" s="3149" t="s">
        <v>3495</v>
      </c>
      <c r="J47" s="3149" t="s">
        <v>3389</v>
      </c>
      <c r="K47" s="3149" t="s">
        <v>3496</v>
      </c>
      <c r="L47" s="3150">
        <v>151.4</v>
      </c>
      <c r="M47" s="3150">
        <v>123.4</v>
      </c>
      <c r="N47" s="3161">
        <v>151.4</v>
      </c>
      <c r="O47" s="3150">
        <v>123.4</v>
      </c>
      <c r="P47" s="3151">
        <v>4400</v>
      </c>
      <c r="Q47" s="3151">
        <v>5398.38</v>
      </c>
      <c r="R47" s="3151">
        <v>666160</v>
      </c>
      <c r="S47" s="3151">
        <v>4400</v>
      </c>
      <c r="T47" s="3151">
        <v>5398.3792999999996</v>
      </c>
      <c r="U47" s="3151">
        <v>666160</v>
      </c>
      <c r="V47" s="3153"/>
      <c r="W47" s="3153"/>
      <c r="X47" s="3153"/>
      <c r="Y47" s="3153"/>
      <c r="Z47" s="3152">
        <v>0</v>
      </c>
      <c r="AA47" s="3153"/>
      <c r="AB47" s="3151">
        <v>0</v>
      </c>
      <c r="AC47" s="3154">
        <v>44028</v>
      </c>
      <c r="AD47" s="3154">
        <v>45264.773614039354</v>
      </c>
      <c r="AE47" s="3154">
        <v>44090.402999074075</v>
      </c>
      <c r="AF47" s="3149"/>
      <c r="AG47" s="3149"/>
      <c r="AH47" s="3149"/>
      <c r="AI47" s="3149"/>
      <c r="AJ47" s="3149"/>
      <c r="AK47" s="3154">
        <v>44834</v>
      </c>
      <c r="AL47" s="3154">
        <v>44028</v>
      </c>
      <c r="AM47" s="3149"/>
      <c r="AN47" s="3149"/>
      <c r="AO47" s="3149"/>
      <c r="AP47" s="3149"/>
      <c r="AQ47" s="3149"/>
      <c r="AR47" s="3149"/>
      <c r="AS47" s="3149"/>
      <c r="AT47" s="3149"/>
    </row>
    <row r="48" spans="1:46" ht="33.75">
      <c r="A48" s="3149">
        <v>40</v>
      </c>
      <c r="B48" s="3149" t="s">
        <v>3488</v>
      </c>
      <c r="C48" s="3149" t="s">
        <v>3489</v>
      </c>
      <c r="D48" s="3149" t="s">
        <v>3490</v>
      </c>
      <c r="E48" s="3149" t="s">
        <v>3491</v>
      </c>
      <c r="F48" s="3149" t="s">
        <v>3538</v>
      </c>
      <c r="G48" s="3149" t="s">
        <v>3537</v>
      </c>
      <c r="H48" s="3149" t="s">
        <v>3509</v>
      </c>
      <c r="I48" s="3149" t="s">
        <v>3495</v>
      </c>
      <c r="J48" s="3149" t="s">
        <v>3389</v>
      </c>
      <c r="K48" s="3149" t="s">
        <v>3496</v>
      </c>
      <c r="L48" s="3150">
        <v>151.4</v>
      </c>
      <c r="M48" s="3150">
        <v>123.4</v>
      </c>
      <c r="N48" s="3161">
        <v>151.4</v>
      </c>
      <c r="O48" s="3150">
        <v>123.4</v>
      </c>
      <c r="P48" s="3151">
        <v>4400</v>
      </c>
      <c r="Q48" s="3151">
        <v>5398.38</v>
      </c>
      <c r="R48" s="3151">
        <v>666160</v>
      </c>
      <c r="S48" s="3151">
        <v>4400</v>
      </c>
      <c r="T48" s="3151">
        <v>5398.3792999999996</v>
      </c>
      <c r="U48" s="3151">
        <v>666160</v>
      </c>
      <c r="V48" s="3153"/>
      <c r="W48" s="3153"/>
      <c r="X48" s="3153"/>
      <c r="Y48" s="3153"/>
      <c r="Z48" s="3152">
        <v>0</v>
      </c>
      <c r="AA48" s="3153"/>
      <c r="AB48" s="3151">
        <v>0</v>
      </c>
      <c r="AC48" s="3154">
        <v>44028</v>
      </c>
      <c r="AD48" s="3154">
        <v>45264.773614039354</v>
      </c>
      <c r="AE48" s="3154">
        <v>44090.402999074075</v>
      </c>
      <c r="AF48" s="3149"/>
      <c r="AG48" s="3149"/>
      <c r="AH48" s="3149"/>
      <c r="AI48" s="3149"/>
      <c r="AJ48" s="3149"/>
      <c r="AK48" s="3154">
        <v>44834</v>
      </c>
      <c r="AL48" s="3154">
        <v>44028</v>
      </c>
      <c r="AM48" s="3149"/>
      <c r="AN48" s="3149"/>
      <c r="AO48" s="3149"/>
      <c r="AP48" s="3149"/>
      <c r="AQ48" s="3149"/>
      <c r="AR48" s="3149"/>
      <c r="AS48" s="3149"/>
      <c r="AT48" s="3149"/>
    </row>
    <row r="49" spans="1:46" ht="33.75">
      <c r="A49" s="3149">
        <v>41</v>
      </c>
      <c r="B49" s="3149" t="s">
        <v>3488</v>
      </c>
      <c r="C49" s="3149" t="s">
        <v>3489</v>
      </c>
      <c r="D49" s="3149" t="s">
        <v>3490</v>
      </c>
      <c r="E49" s="3149" t="s">
        <v>3491</v>
      </c>
      <c r="F49" s="3149" t="s">
        <v>3546</v>
      </c>
      <c r="G49" s="3149" t="s">
        <v>3493</v>
      </c>
      <c r="H49" s="3149" t="s">
        <v>3494</v>
      </c>
      <c r="I49" s="3149" t="s">
        <v>3495</v>
      </c>
      <c r="J49" s="3149" t="s">
        <v>3389</v>
      </c>
      <c r="K49" s="3149" t="s">
        <v>3496</v>
      </c>
      <c r="L49" s="3150">
        <v>114.02</v>
      </c>
      <c r="M49" s="3150">
        <v>92.93</v>
      </c>
      <c r="N49" s="3161">
        <v>114.02</v>
      </c>
      <c r="O49" s="3150">
        <v>92.93</v>
      </c>
      <c r="P49" s="3151">
        <v>12160</v>
      </c>
      <c r="Q49" s="3151">
        <v>14919.65</v>
      </c>
      <c r="R49" s="3151">
        <v>1386483</v>
      </c>
      <c r="S49" s="3151">
        <v>14660.743700000001</v>
      </c>
      <c r="T49" s="3151">
        <v>17987.9264</v>
      </c>
      <c r="U49" s="3151">
        <v>1671618</v>
      </c>
      <c r="V49" s="3151">
        <v>12198.91</v>
      </c>
      <c r="W49" s="3151">
        <v>14967.39</v>
      </c>
      <c r="X49" s="3151">
        <v>1390920</v>
      </c>
      <c r="Y49" s="3152">
        <v>1390920</v>
      </c>
      <c r="Z49" s="3152">
        <v>0</v>
      </c>
      <c r="AA49" s="3153"/>
      <c r="AB49" s="3151">
        <v>1390920</v>
      </c>
      <c r="AC49" s="3154">
        <v>44028</v>
      </c>
      <c r="AD49" s="3154">
        <v>44089.755273182869</v>
      </c>
      <c r="AE49" s="3154">
        <v>44090.402999074075</v>
      </c>
      <c r="AF49" s="3154">
        <v>44152</v>
      </c>
      <c r="AG49" s="3154">
        <v>44153</v>
      </c>
      <c r="AH49" s="3154">
        <v>44179</v>
      </c>
      <c r="AI49" s="3154">
        <v>44189</v>
      </c>
      <c r="AJ49" s="3154">
        <v>44834</v>
      </c>
      <c r="AK49" s="3154">
        <v>44834</v>
      </c>
      <c r="AL49" s="3154">
        <v>44028</v>
      </c>
      <c r="AM49" s="3149" t="s">
        <v>3516</v>
      </c>
      <c r="AN49" s="3149" t="s">
        <v>3547</v>
      </c>
      <c r="AO49" s="3149" t="s">
        <v>3548</v>
      </c>
      <c r="AP49" s="3149"/>
      <c r="AQ49" s="3149"/>
      <c r="AR49" s="3149" t="s">
        <v>3519</v>
      </c>
      <c r="AS49" s="3149" t="s">
        <v>3520</v>
      </c>
      <c r="AT49" s="3149"/>
    </row>
    <row r="50" spans="1:46" ht="33.75">
      <c r="A50" s="3149">
        <v>42</v>
      </c>
      <c r="B50" s="3149" t="s">
        <v>3488</v>
      </c>
      <c r="C50" s="3149" t="s">
        <v>3489</v>
      </c>
      <c r="D50" s="3149" t="s">
        <v>3490</v>
      </c>
      <c r="E50" s="3149" t="s">
        <v>3491</v>
      </c>
      <c r="F50" s="3149" t="s">
        <v>3546</v>
      </c>
      <c r="G50" s="3149" t="s">
        <v>3502</v>
      </c>
      <c r="H50" s="3149" t="s">
        <v>3494</v>
      </c>
      <c r="I50" s="3149" t="s">
        <v>3495</v>
      </c>
      <c r="J50" s="3149" t="s">
        <v>3389</v>
      </c>
      <c r="K50" s="3149" t="s">
        <v>3496</v>
      </c>
      <c r="L50" s="3150">
        <v>114.02</v>
      </c>
      <c r="M50" s="3150">
        <v>92.93</v>
      </c>
      <c r="N50" s="3161">
        <v>114.02</v>
      </c>
      <c r="O50" s="3150">
        <v>92.93</v>
      </c>
      <c r="P50" s="3151">
        <v>13775</v>
      </c>
      <c r="Q50" s="3151">
        <v>16901.16</v>
      </c>
      <c r="R50" s="3151">
        <v>1570625</v>
      </c>
      <c r="S50" s="3151">
        <v>16549.631600000001</v>
      </c>
      <c r="T50" s="3151">
        <v>20305.488000000001</v>
      </c>
      <c r="U50" s="3151">
        <v>1886989</v>
      </c>
      <c r="V50" s="3151">
        <v>14500</v>
      </c>
      <c r="W50" s="3151">
        <v>17790.7</v>
      </c>
      <c r="X50" s="3151">
        <v>1653290</v>
      </c>
      <c r="Y50" s="3152">
        <v>1653290</v>
      </c>
      <c r="Z50" s="3152">
        <v>0</v>
      </c>
      <c r="AA50" s="3153"/>
      <c r="AB50" s="3151">
        <v>1653290</v>
      </c>
      <c r="AC50" s="3154">
        <v>44028</v>
      </c>
      <c r="AD50" s="3154">
        <v>44089.755273182869</v>
      </c>
      <c r="AE50" s="3154">
        <v>44090.402999074075</v>
      </c>
      <c r="AF50" s="3154">
        <v>44165</v>
      </c>
      <c r="AG50" s="3154">
        <v>44165</v>
      </c>
      <c r="AH50" s="3154">
        <v>44172</v>
      </c>
      <c r="AI50" s="3154">
        <v>44182</v>
      </c>
      <c r="AJ50" s="3154">
        <v>44834</v>
      </c>
      <c r="AK50" s="3149"/>
      <c r="AL50" s="3154">
        <v>44028</v>
      </c>
      <c r="AM50" s="3149" t="s">
        <v>3416</v>
      </c>
      <c r="AN50" s="3149" t="s">
        <v>3549</v>
      </c>
      <c r="AO50" s="3149" t="s">
        <v>3498</v>
      </c>
      <c r="AP50" s="3149" t="s">
        <v>3499</v>
      </c>
      <c r="AQ50" s="3149" t="s">
        <v>3499</v>
      </c>
      <c r="AR50" s="3149" t="s">
        <v>3500</v>
      </c>
      <c r="AS50" s="3149" t="s">
        <v>3501</v>
      </c>
      <c r="AT50" s="3149"/>
    </row>
    <row r="51" spans="1:46" ht="33.75">
      <c r="A51" s="3149">
        <v>43</v>
      </c>
      <c r="B51" s="3149" t="s">
        <v>3488</v>
      </c>
      <c r="C51" s="3149" t="s">
        <v>3489</v>
      </c>
      <c r="D51" s="3149" t="s">
        <v>3490</v>
      </c>
      <c r="E51" s="3149" t="s">
        <v>3491</v>
      </c>
      <c r="F51" s="3149" t="s">
        <v>3546</v>
      </c>
      <c r="G51" s="3149" t="s">
        <v>3508</v>
      </c>
      <c r="H51" s="3149" t="s">
        <v>3509</v>
      </c>
      <c r="I51" s="3149" t="s">
        <v>3495</v>
      </c>
      <c r="J51" s="3149" t="s">
        <v>3389</v>
      </c>
      <c r="K51" s="3149" t="s">
        <v>3496</v>
      </c>
      <c r="L51" s="3150">
        <v>114.02</v>
      </c>
      <c r="M51" s="3150">
        <v>92.93</v>
      </c>
      <c r="N51" s="3161">
        <v>114.02</v>
      </c>
      <c r="O51" s="3150">
        <v>92.93</v>
      </c>
      <c r="P51" s="3151">
        <v>4300</v>
      </c>
      <c r="Q51" s="3151">
        <v>5275.86</v>
      </c>
      <c r="R51" s="3151">
        <v>490286</v>
      </c>
      <c r="S51" s="3151">
        <v>4300</v>
      </c>
      <c r="T51" s="3151">
        <v>5275.8635999999997</v>
      </c>
      <c r="U51" s="3151">
        <v>490286</v>
      </c>
      <c r="V51" s="3153"/>
      <c r="W51" s="3153"/>
      <c r="X51" s="3153"/>
      <c r="Y51" s="3153"/>
      <c r="Z51" s="3152">
        <v>0</v>
      </c>
      <c r="AA51" s="3153"/>
      <c r="AB51" s="3151">
        <v>0</v>
      </c>
      <c r="AC51" s="3154">
        <v>44028</v>
      </c>
      <c r="AD51" s="3154">
        <v>45264.773614039354</v>
      </c>
      <c r="AE51" s="3154">
        <v>44090.402999074075</v>
      </c>
      <c r="AF51" s="3149"/>
      <c r="AG51" s="3149"/>
      <c r="AH51" s="3149"/>
      <c r="AI51" s="3149"/>
      <c r="AJ51" s="3149"/>
      <c r="AK51" s="3154">
        <v>44834</v>
      </c>
      <c r="AL51" s="3154">
        <v>44028</v>
      </c>
      <c r="AM51" s="3149"/>
      <c r="AN51" s="3149"/>
      <c r="AO51" s="3149"/>
      <c r="AP51" s="3149"/>
      <c r="AQ51" s="3149"/>
      <c r="AR51" s="3149"/>
      <c r="AS51" s="3149"/>
      <c r="AT51" s="3149"/>
    </row>
    <row r="52" spans="1:46" ht="33.75">
      <c r="A52" s="3149">
        <v>44</v>
      </c>
      <c r="B52" s="3149" t="s">
        <v>3488</v>
      </c>
      <c r="C52" s="3149" t="s">
        <v>3489</v>
      </c>
      <c r="D52" s="3149" t="s">
        <v>3490</v>
      </c>
      <c r="E52" s="3149" t="s">
        <v>3491</v>
      </c>
      <c r="F52" s="3149" t="s">
        <v>3546</v>
      </c>
      <c r="G52" s="3149" t="s">
        <v>3510</v>
      </c>
      <c r="H52" s="3149" t="s">
        <v>3509</v>
      </c>
      <c r="I52" s="3149" t="s">
        <v>3495</v>
      </c>
      <c r="J52" s="3149" t="s">
        <v>3389</v>
      </c>
      <c r="K52" s="3149" t="s">
        <v>3496</v>
      </c>
      <c r="L52" s="3150">
        <v>114.02</v>
      </c>
      <c r="M52" s="3150">
        <v>92.93</v>
      </c>
      <c r="N52" s="3161">
        <v>114.02</v>
      </c>
      <c r="O52" s="3150">
        <v>92.93</v>
      </c>
      <c r="P52" s="3151">
        <v>4300</v>
      </c>
      <c r="Q52" s="3151">
        <v>5275.86</v>
      </c>
      <c r="R52" s="3151">
        <v>490286</v>
      </c>
      <c r="S52" s="3151">
        <v>4300</v>
      </c>
      <c r="T52" s="3151">
        <v>5275.8635999999997</v>
      </c>
      <c r="U52" s="3151">
        <v>490286</v>
      </c>
      <c r="V52" s="3153"/>
      <c r="W52" s="3153"/>
      <c r="X52" s="3153"/>
      <c r="Y52" s="3153"/>
      <c r="Z52" s="3152">
        <v>0</v>
      </c>
      <c r="AA52" s="3153"/>
      <c r="AB52" s="3151">
        <v>0</v>
      </c>
      <c r="AC52" s="3154">
        <v>44028</v>
      </c>
      <c r="AD52" s="3154">
        <v>45264.773614039354</v>
      </c>
      <c r="AE52" s="3154">
        <v>44090.402999074075</v>
      </c>
      <c r="AF52" s="3149"/>
      <c r="AG52" s="3149"/>
      <c r="AH52" s="3149"/>
      <c r="AI52" s="3149"/>
      <c r="AJ52" s="3149"/>
      <c r="AK52" s="3154">
        <v>44834</v>
      </c>
      <c r="AL52" s="3154">
        <v>44028</v>
      </c>
      <c r="AM52" s="3149"/>
      <c r="AN52" s="3149"/>
      <c r="AO52" s="3149"/>
      <c r="AP52" s="3149"/>
      <c r="AQ52" s="3149"/>
      <c r="AR52" s="3149"/>
      <c r="AS52" s="3149"/>
      <c r="AT52" s="3149"/>
    </row>
    <row r="53" spans="1:46" ht="33.75">
      <c r="A53" s="3149">
        <v>45</v>
      </c>
      <c r="B53" s="3149" t="s">
        <v>3488</v>
      </c>
      <c r="C53" s="3149" t="s">
        <v>3489</v>
      </c>
      <c r="D53" s="3149" t="s">
        <v>3490</v>
      </c>
      <c r="E53" s="3149" t="s">
        <v>3491</v>
      </c>
      <c r="F53" s="3149" t="s">
        <v>3546</v>
      </c>
      <c r="G53" s="3149" t="s">
        <v>3511</v>
      </c>
      <c r="H53" s="3149" t="s">
        <v>3509</v>
      </c>
      <c r="I53" s="3149" t="s">
        <v>3495</v>
      </c>
      <c r="J53" s="3149" t="s">
        <v>3389</v>
      </c>
      <c r="K53" s="3149" t="s">
        <v>3496</v>
      </c>
      <c r="L53" s="3150">
        <v>114.02</v>
      </c>
      <c r="M53" s="3150">
        <v>92.93</v>
      </c>
      <c r="N53" s="3161">
        <v>114.02</v>
      </c>
      <c r="O53" s="3150">
        <v>92.93</v>
      </c>
      <c r="P53" s="3151">
        <v>4350</v>
      </c>
      <c r="Q53" s="3151">
        <v>5337.21</v>
      </c>
      <c r="R53" s="3151">
        <v>495987</v>
      </c>
      <c r="S53" s="3151">
        <v>4350</v>
      </c>
      <c r="T53" s="3151">
        <v>5337.2107999999998</v>
      </c>
      <c r="U53" s="3151">
        <v>495987</v>
      </c>
      <c r="V53" s="3153"/>
      <c r="W53" s="3153"/>
      <c r="X53" s="3153"/>
      <c r="Y53" s="3153"/>
      <c r="Z53" s="3152">
        <v>0</v>
      </c>
      <c r="AA53" s="3153"/>
      <c r="AB53" s="3151">
        <v>0</v>
      </c>
      <c r="AC53" s="3154">
        <v>44028</v>
      </c>
      <c r="AD53" s="3154">
        <v>45264.773614039354</v>
      </c>
      <c r="AE53" s="3154">
        <v>44090.402999074075</v>
      </c>
      <c r="AF53" s="3149"/>
      <c r="AG53" s="3149"/>
      <c r="AH53" s="3149"/>
      <c r="AI53" s="3149"/>
      <c r="AJ53" s="3149"/>
      <c r="AK53" s="3154">
        <v>44834</v>
      </c>
      <c r="AL53" s="3154">
        <v>44028</v>
      </c>
      <c r="AM53" s="3149"/>
      <c r="AN53" s="3149"/>
      <c r="AO53" s="3149"/>
      <c r="AP53" s="3149"/>
      <c r="AQ53" s="3149"/>
      <c r="AR53" s="3149"/>
      <c r="AS53" s="3149"/>
      <c r="AT53" s="3149"/>
    </row>
    <row r="54" spans="1:46" ht="33.75">
      <c r="A54" s="3149">
        <v>46</v>
      </c>
      <c r="B54" s="3149" t="s">
        <v>3488</v>
      </c>
      <c r="C54" s="3149" t="s">
        <v>3489</v>
      </c>
      <c r="D54" s="3149" t="s">
        <v>3490</v>
      </c>
      <c r="E54" s="3149" t="s">
        <v>3491</v>
      </c>
      <c r="F54" s="3149" t="s">
        <v>3546</v>
      </c>
      <c r="G54" s="3149" t="s">
        <v>3512</v>
      </c>
      <c r="H54" s="3149" t="s">
        <v>3509</v>
      </c>
      <c r="I54" s="3149" t="s">
        <v>3495</v>
      </c>
      <c r="J54" s="3149" t="s">
        <v>3389</v>
      </c>
      <c r="K54" s="3149" t="s">
        <v>3496</v>
      </c>
      <c r="L54" s="3150">
        <v>114.02</v>
      </c>
      <c r="M54" s="3150">
        <v>92.93</v>
      </c>
      <c r="N54" s="3161">
        <v>114.02</v>
      </c>
      <c r="O54" s="3150">
        <v>92.93</v>
      </c>
      <c r="P54" s="3151">
        <v>4350</v>
      </c>
      <c r="Q54" s="3151">
        <v>5337.21</v>
      </c>
      <c r="R54" s="3151">
        <v>495987</v>
      </c>
      <c r="S54" s="3151">
        <v>4350</v>
      </c>
      <c r="T54" s="3151">
        <v>5337.2107999999998</v>
      </c>
      <c r="U54" s="3151">
        <v>495987</v>
      </c>
      <c r="V54" s="3153"/>
      <c r="W54" s="3153"/>
      <c r="X54" s="3153"/>
      <c r="Y54" s="3153"/>
      <c r="Z54" s="3152">
        <v>0</v>
      </c>
      <c r="AA54" s="3153"/>
      <c r="AB54" s="3151">
        <v>0</v>
      </c>
      <c r="AC54" s="3154">
        <v>44028</v>
      </c>
      <c r="AD54" s="3154">
        <v>45264.773614039354</v>
      </c>
      <c r="AE54" s="3154">
        <v>44090.402999074075</v>
      </c>
      <c r="AF54" s="3149"/>
      <c r="AG54" s="3149"/>
      <c r="AH54" s="3149"/>
      <c r="AI54" s="3149"/>
      <c r="AJ54" s="3149"/>
      <c r="AK54" s="3154">
        <v>44834</v>
      </c>
      <c r="AL54" s="3154">
        <v>44028</v>
      </c>
      <c r="AM54" s="3149"/>
      <c r="AN54" s="3149"/>
      <c r="AO54" s="3149"/>
      <c r="AP54" s="3149"/>
      <c r="AQ54" s="3149"/>
      <c r="AR54" s="3149"/>
      <c r="AS54" s="3149"/>
      <c r="AT54" s="3149"/>
    </row>
    <row r="55" spans="1:46" ht="33.75">
      <c r="A55" s="3149">
        <v>47</v>
      </c>
      <c r="B55" s="3149" t="s">
        <v>3488</v>
      </c>
      <c r="C55" s="3149" t="s">
        <v>3489</v>
      </c>
      <c r="D55" s="3149" t="s">
        <v>3490</v>
      </c>
      <c r="E55" s="3149" t="s">
        <v>3491</v>
      </c>
      <c r="F55" s="3149" t="s">
        <v>3546</v>
      </c>
      <c r="G55" s="3149" t="s">
        <v>3513</v>
      </c>
      <c r="H55" s="3149" t="s">
        <v>3509</v>
      </c>
      <c r="I55" s="3149" t="s">
        <v>3495</v>
      </c>
      <c r="J55" s="3149" t="s">
        <v>3389</v>
      </c>
      <c r="K55" s="3149" t="s">
        <v>3496</v>
      </c>
      <c r="L55" s="3150">
        <v>114.02</v>
      </c>
      <c r="M55" s="3150">
        <v>92.93</v>
      </c>
      <c r="N55" s="3161">
        <v>114.02</v>
      </c>
      <c r="O55" s="3150">
        <v>92.93</v>
      </c>
      <c r="P55" s="3151">
        <v>4400</v>
      </c>
      <c r="Q55" s="3151">
        <v>5398.56</v>
      </c>
      <c r="R55" s="3151">
        <v>501688</v>
      </c>
      <c r="S55" s="3151">
        <v>4400</v>
      </c>
      <c r="T55" s="3151">
        <v>5398.5581000000002</v>
      </c>
      <c r="U55" s="3151">
        <v>501688</v>
      </c>
      <c r="V55" s="3153"/>
      <c r="W55" s="3153"/>
      <c r="X55" s="3153"/>
      <c r="Y55" s="3153"/>
      <c r="Z55" s="3152">
        <v>0</v>
      </c>
      <c r="AA55" s="3153"/>
      <c r="AB55" s="3151">
        <v>0</v>
      </c>
      <c r="AC55" s="3154">
        <v>44028</v>
      </c>
      <c r="AD55" s="3154">
        <v>45264.773614039354</v>
      </c>
      <c r="AE55" s="3154">
        <v>44090.402999074075</v>
      </c>
      <c r="AF55" s="3149"/>
      <c r="AG55" s="3149"/>
      <c r="AH55" s="3149"/>
      <c r="AI55" s="3149"/>
      <c r="AJ55" s="3149"/>
      <c r="AK55" s="3154">
        <v>44834</v>
      </c>
      <c r="AL55" s="3154">
        <v>44028</v>
      </c>
      <c r="AM55" s="3149"/>
      <c r="AN55" s="3149"/>
      <c r="AO55" s="3149"/>
      <c r="AP55" s="3149"/>
      <c r="AQ55" s="3149"/>
      <c r="AR55" s="3149"/>
      <c r="AS55" s="3149"/>
      <c r="AT55" s="3149"/>
    </row>
    <row r="56" spans="1:46" ht="33.75">
      <c r="A56" s="3149">
        <v>48</v>
      </c>
      <c r="B56" s="3149" t="s">
        <v>3488</v>
      </c>
      <c r="C56" s="3149" t="s">
        <v>3489</v>
      </c>
      <c r="D56" s="3149" t="s">
        <v>3490</v>
      </c>
      <c r="E56" s="3149" t="s">
        <v>3491</v>
      </c>
      <c r="F56" s="3149" t="s">
        <v>3546</v>
      </c>
      <c r="G56" s="3149" t="s">
        <v>3514</v>
      </c>
      <c r="H56" s="3149" t="s">
        <v>3509</v>
      </c>
      <c r="I56" s="3149" t="s">
        <v>3495</v>
      </c>
      <c r="J56" s="3149" t="s">
        <v>3389</v>
      </c>
      <c r="K56" s="3149" t="s">
        <v>3496</v>
      </c>
      <c r="L56" s="3150">
        <v>114.02</v>
      </c>
      <c r="M56" s="3150">
        <v>92.93</v>
      </c>
      <c r="N56" s="3161">
        <v>114.02</v>
      </c>
      <c r="O56" s="3150">
        <v>92.93</v>
      </c>
      <c r="P56" s="3151">
        <v>4400</v>
      </c>
      <c r="Q56" s="3151">
        <v>5398.56</v>
      </c>
      <c r="R56" s="3151">
        <v>501688</v>
      </c>
      <c r="S56" s="3151">
        <v>4400</v>
      </c>
      <c r="T56" s="3151">
        <v>5398.5581000000002</v>
      </c>
      <c r="U56" s="3151">
        <v>501688</v>
      </c>
      <c r="V56" s="3153"/>
      <c r="W56" s="3153"/>
      <c r="X56" s="3153"/>
      <c r="Y56" s="3153"/>
      <c r="Z56" s="3152">
        <v>0</v>
      </c>
      <c r="AA56" s="3153"/>
      <c r="AB56" s="3151">
        <v>0</v>
      </c>
      <c r="AC56" s="3154">
        <v>44028</v>
      </c>
      <c r="AD56" s="3154">
        <v>45264.773614039354</v>
      </c>
      <c r="AE56" s="3154">
        <v>44090.402999074075</v>
      </c>
      <c r="AF56" s="3149"/>
      <c r="AG56" s="3149"/>
      <c r="AH56" s="3149"/>
      <c r="AI56" s="3149"/>
      <c r="AJ56" s="3149"/>
      <c r="AK56" s="3154">
        <v>44834</v>
      </c>
      <c r="AL56" s="3154">
        <v>44028</v>
      </c>
      <c r="AM56" s="3149"/>
      <c r="AN56" s="3149"/>
      <c r="AO56" s="3149"/>
      <c r="AP56" s="3149"/>
      <c r="AQ56" s="3149"/>
      <c r="AR56" s="3149"/>
      <c r="AS56" s="3149"/>
      <c r="AT56" s="3149"/>
    </row>
    <row r="57" spans="1:46" ht="33.75">
      <c r="A57" s="3149">
        <v>49</v>
      </c>
      <c r="B57" s="3149" t="s">
        <v>3488</v>
      </c>
      <c r="C57" s="3149" t="s">
        <v>3489</v>
      </c>
      <c r="D57" s="3149" t="s">
        <v>3490</v>
      </c>
      <c r="E57" s="3149" t="s">
        <v>3491</v>
      </c>
      <c r="F57" s="3149" t="s">
        <v>3546</v>
      </c>
      <c r="G57" s="3149" t="s">
        <v>3515</v>
      </c>
      <c r="H57" s="3149" t="s">
        <v>3509</v>
      </c>
      <c r="I57" s="3149" t="s">
        <v>3495</v>
      </c>
      <c r="J57" s="3149" t="s">
        <v>3389</v>
      </c>
      <c r="K57" s="3149" t="s">
        <v>3496</v>
      </c>
      <c r="L57" s="3150">
        <v>114.02</v>
      </c>
      <c r="M57" s="3150">
        <v>92.93</v>
      </c>
      <c r="N57" s="3161">
        <v>114.02</v>
      </c>
      <c r="O57" s="3150">
        <v>92.93</v>
      </c>
      <c r="P57" s="3151">
        <v>4600</v>
      </c>
      <c r="Q57" s="3151">
        <v>5643.95</v>
      </c>
      <c r="R57" s="3151">
        <v>524492</v>
      </c>
      <c r="S57" s="3151">
        <v>4600</v>
      </c>
      <c r="T57" s="3151">
        <v>5643.9471000000003</v>
      </c>
      <c r="U57" s="3151">
        <v>524492</v>
      </c>
      <c r="V57" s="3153"/>
      <c r="W57" s="3153"/>
      <c r="X57" s="3153"/>
      <c r="Y57" s="3153"/>
      <c r="Z57" s="3152">
        <v>0</v>
      </c>
      <c r="AA57" s="3153"/>
      <c r="AB57" s="3151">
        <v>0</v>
      </c>
      <c r="AC57" s="3154">
        <v>44028</v>
      </c>
      <c r="AD57" s="3154">
        <v>45264.773614039354</v>
      </c>
      <c r="AE57" s="3154">
        <v>44090.402999074075</v>
      </c>
      <c r="AF57" s="3149"/>
      <c r="AG57" s="3149"/>
      <c r="AH57" s="3149"/>
      <c r="AI57" s="3149"/>
      <c r="AJ57" s="3149"/>
      <c r="AK57" s="3154">
        <v>44834</v>
      </c>
      <c r="AL57" s="3154">
        <v>44028</v>
      </c>
      <c r="AM57" s="3149"/>
      <c r="AN57" s="3149"/>
      <c r="AO57" s="3149"/>
      <c r="AP57" s="3149"/>
      <c r="AQ57" s="3149"/>
      <c r="AR57" s="3149"/>
      <c r="AS57" s="3149"/>
      <c r="AT57" s="3149"/>
    </row>
    <row r="58" spans="1:46" ht="33.75">
      <c r="A58" s="3149">
        <v>50</v>
      </c>
      <c r="B58" s="3149" t="s">
        <v>3488</v>
      </c>
      <c r="C58" s="3149" t="s">
        <v>3489</v>
      </c>
      <c r="D58" s="3149" t="s">
        <v>3490</v>
      </c>
      <c r="E58" s="3149" t="s">
        <v>3491</v>
      </c>
      <c r="F58" s="3149" t="s">
        <v>3546</v>
      </c>
      <c r="G58" s="3149" t="s">
        <v>3521</v>
      </c>
      <c r="H58" s="3149" t="s">
        <v>3494</v>
      </c>
      <c r="I58" s="3149" t="s">
        <v>3495</v>
      </c>
      <c r="J58" s="3149" t="s">
        <v>3389</v>
      </c>
      <c r="K58" s="3149" t="s">
        <v>3496</v>
      </c>
      <c r="L58" s="3150">
        <v>114.02</v>
      </c>
      <c r="M58" s="3150">
        <v>92.93</v>
      </c>
      <c r="N58" s="3161">
        <v>114.02</v>
      </c>
      <c r="O58" s="3150">
        <v>92.93</v>
      </c>
      <c r="P58" s="3151">
        <v>9347.99</v>
      </c>
      <c r="Q58" s="3151">
        <v>11469.47</v>
      </c>
      <c r="R58" s="3151">
        <v>1065858</v>
      </c>
      <c r="S58" s="3151">
        <v>10898.456399999999</v>
      </c>
      <c r="T58" s="3151">
        <v>13371.806699999999</v>
      </c>
      <c r="U58" s="3151">
        <v>1242642</v>
      </c>
      <c r="V58" s="3151">
        <v>9348</v>
      </c>
      <c r="W58" s="3151">
        <v>11469.48</v>
      </c>
      <c r="X58" s="3151">
        <v>1065859</v>
      </c>
      <c r="Y58" s="3152">
        <v>1065859</v>
      </c>
      <c r="Z58" s="3152">
        <v>0</v>
      </c>
      <c r="AA58" s="3153"/>
      <c r="AB58" s="3151">
        <v>1065859</v>
      </c>
      <c r="AC58" s="3154">
        <v>44028</v>
      </c>
      <c r="AD58" s="3154">
        <v>44372.487411145834</v>
      </c>
      <c r="AE58" s="3154">
        <v>44090.402999074075</v>
      </c>
      <c r="AF58" s="3154">
        <v>44438</v>
      </c>
      <c r="AG58" s="3154">
        <v>44438</v>
      </c>
      <c r="AH58" s="3149"/>
      <c r="AI58" s="3149"/>
      <c r="AJ58" s="3154">
        <v>45199</v>
      </c>
      <c r="AK58" s="3154">
        <v>44834</v>
      </c>
      <c r="AL58" s="3154">
        <v>44028</v>
      </c>
      <c r="AM58" s="3149" t="s">
        <v>3516</v>
      </c>
      <c r="AN58" s="3149" t="s">
        <v>3550</v>
      </c>
      <c r="AO58" s="3149" t="s">
        <v>3540</v>
      </c>
      <c r="AP58" s="3149" t="s">
        <v>3499</v>
      </c>
      <c r="AQ58" s="3149" t="s">
        <v>3499</v>
      </c>
      <c r="AR58" s="3149" t="s">
        <v>3519</v>
      </c>
      <c r="AS58" s="3149" t="s">
        <v>3520</v>
      </c>
      <c r="AT58" s="3149"/>
    </row>
    <row r="59" spans="1:46" ht="33.75">
      <c r="A59" s="3149">
        <v>51</v>
      </c>
      <c r="B59" s="3149" t="s">
        <v>3488</v>
      </c>
      <c r="C59" s="3149" t="s">
        <v>3489</v>
      </c>
      <c r="D59" s="3149" t="s">
        <v>3490</v>
      </c>
      <c r="E59" s="3149" t="s">
        <v>3491</v>
      </c>
      <c r="F59" s="3149" t="s">
        <v>3546</v>
      </c>
      <c r="G59" s="3149" t="s">
        <v>3522</v>
      </c>
      <c r="H59" s="3149" t="s">
        <v>3494</v>
      </c>
      <c r="I59" s="3149" t="s">
        <v>3495</v>
      </c>
      <c r="J59" s="3149" t="s">
        <v>3389</v>
      </c>
      <c r="K59" s="3149" t="s">
        <v>3496</v>
      </c>
      <c r="L59" s="3150">
        <v>114.02</v>
      </c>
      <c r="M59" s="3150">
        <v>92.93</v>
      </c>
      <c r="N59" s="3161">
        <v>114.02</v>
      </c>
      <c r="O59" s="3150">
        <v>92.93</v>
      </c>
      <c r="P59" s="3151">
        <v>9639.99</v>
      </c>
      <c r="Q59" s="3151">
        <v>11827.74</v>
      </c>
      <c r="R59" s="3151">
        <v>1099152</v>
      </c>
      <c r="S59" s="3151">
        <v>11713.3748</v>
      </c>
      <c r="T59" s="3151">
        <v>14371.666800000001</v>
      </c>
      <c r="U59" s="3151">
        <v>1335559</v>
      </c>
      <c r="V59" s="3151">
        <v>9768.5300000000007</v>
      </c>
      <c r="W59" s="3151">
        <v>11985.45</v>
      </c>
      <c r="X59" s="3151">
        <v>1113808</v>
      </c>
      <c r="Y59" s="3152">
        <v>1113808</v>
      </c>
      <c r="Z59" s="3152">
        <v>0</v>
      </c>
      <c r="AA59" s="3153"/>
      <c r="AB59" s="3151">
        <v>1113808</v>
      </c>
      <c r="AC59" s="3154">
        <v>44028</v>
      </c>
      <c r="AD59" s="3154">
        <v>44089.755273182869</v>
      </c>
      <c r="AE59" s="3154">
        <v>44090.402999074075</v>
      </c>
      <c r="AF59" s="3154">
        <v>44210</v>
      </c>
      <c r="AG59" s="3154">
        <v>44210</v>
      </c>
      <c r="AH59" s="3154">
        <v>44270</v>
      </c>
      <c r="AI59" s="3154">
        <v>44294</v>
      </c>
      <c r="AJ59" s="3154">
        <v>44834</v>
      </c>
      <c r="AK59" s="3154">
        <v>44834</v>
      </c>
      <c r="AL59" s="3154">
        <v>44028</v>
      </c>
      <c r="AM59" s="3149" t="s">
        <v>3516</v>
      </c>
      <c r="AN59" s="3149" t="s">
        <v>3551</v>
      </c>
      <c r="AO59" s="3149" t="s">
        <v>3552</v>
      </c>
      <c r="AP59" s="3149"/>
      <c r="AQ59" s="3149"/>
      <c r="AR59" s="3149" t="s">
        <v>3519</v>
      </c>
      <c r="AS59" s="3149" t="s">
        <v>3520</v>
      </c>
      <c r="AT59" s="3149"/>
    </row>
    <row r="60" spans="1:46" ht="33.75">
      <c r="A60" s="3149">
        <v>52</v>
      </c>
      <c r="B60" s="3149" t="s">
        <v>3488</v>
      </c>
      <c r="C60" s="3149" t="s">
        <v>3489</v>
      </c>
      <c r="D60" s="3149" t="s">
        <v>3490</v>
      </c>
      <c r="E60" s="3149" t="s">
        <v>3491</v>
      </c>
      <c r="F60" s="3149" t="s">
        <v>3546</v>
      </c>
      <c r="G60" s="3149" t="s">
        <v>3523</v>
      </c>
      <c r="H60" s="3149" t="s">
        <v>3494</v>
      </c>
      <c r="I60" s="3149" t="s">
        <v>3495</v>
      </c>
      <c r="J60" s="3149" t="s">
        <v>3389</v>
      </c>
      <c r="K60" s="3149" t="s">
        <v>3496</v>
      </c>
      <c r="L60" s="3150">
        <v>114.02</v>
      </c>
      <c r="M60" s="3150">
        <v>92.93</v>
      </c>
      <c r="N60" s="3161">
        <v>114.02</v>
      </c>
      <c r="O60" s="3150">
        <v>92.93</v>
      </c>
      <c r="P60" s="3151">
        <v>9347.99</v>
      </c>
      <c r="Q60" s="3151">
        <v>11469.47</v>
      </c>
      <c r="R60" s="3151">
        <v>1065858</v>
      </c>
      <c r="S60" s="3151">
        <v>10898.456399999999</v>
      </c>
      <c r="T60" s="3151">
        <v>13371.806699999999</v>
      </c>
      <c r="U60" s="3151">
        <v>1242642</v>
      </c>
      <c r="V60" s="3151">
        <v>9348</v>
      </c>
      <c r="W60" s="3151">
        <v>11469.48</v>
      </c>
      <c r="X60" s="3151">
        <v>1065859</v>
      </c>
      <c r="Y60" s="3152">
        <v>1065859</v>
      </c>
      <c r="Z60" s="3152">
        <v>0</v>
      </c>
      <c r="AA60" s="3153"/>
      <c r="AB60" s="3151">
        <v>1065859</v>
      </c>
      <c r="AC60" s="3154">
        <v>44028</v>
      </c>
      <c r="AD60" s="3154">
        <v>44372.487411145834</v>
      </c>
      <c r="AE60" s="3154">
        <v>44090.402999074075</v>
      </c>
      <c r="AF60" s="3154">
        <v>44481</v>
      </c>
      <c r="AG60" s="3154">
        <v>44482</v>
      </c>
      <c r="AH60" s="3149"/>
      <c r="AI60" s="3149"/>
      <c r="AJ60" s="3154">
        <v>45199</v>
      </c>
      <c r="AK60" s="3154">
        <v>44834</v>
      </c>
      <c r="AL60" s="3154">
        <v>44028</v>
      </c>
      <c r="AM60" s="3149" t="s">
        <v>3516</v>
      </c>
      <c r="AN60" s="3149" t="s">
        <v>3553</v>
      </c>
      <c r="AO60" s="3149" t="s">
        <v>3518</v>
      </c>
      <c r="AP60" s="3149" t="s">
        <v>3499</v>
      </c>
      <c r="AQ60" s="3149" t="s">
        <v>3499</v>
      </c>
      <c r="AR60" s="3149" t="s">
        <v>3519</v>
      </c>
      <c r="AS60" s="3149" t="s">
        <v>3520</v>
      </c>
      <c r="AT60" s="3149"/>
    </row>
    <row r="61" spans="1:46" ht="33.75">
      <c r="A61" s="3149">
        <v>53</v>
      </c>
      <c r="B61" s="3149" t="s">
        <v>3488</v>
      </c>
      <c r="C61" s="3149" t="s">
        <v>3489</v>
      </c>
      <c r="D61" s="3149" t="s">
        <v>3490</v>
      </c>
      <c r="E61" s="3149" t="s">
        <v>3491</v>
      </c>
      <c r="F61" s="3149" t="s">
        <v>3546</v>
      </c>
      <c r="G61" s="3149" t="s">
        <v>3525</v>
      </c>
      <c r="H61" s="3149" t="s">
        <v>3509</v>
      </c>
      <c r="I61" s="3149" t="s">
        <v>3495</v>
      </c>
      <c r="J61" s="3149" t="s">
        <v>3389</v>
      </c>
      <c r="K61" s="3149" t="s">
        <v>3496</v>
      </c>
      <c r="L61" s="3150">
        <v>114.02</v>
      </c>
      <c r="M61" s="3150">
        <v>92.93</v>
      </c>
      <c r="N61" s="3161">
        <v>114.02</v>
      </c>
      <c r="O61" s="3150">
        <v>92.93</v>
      </c>
      <c r="P61" s="3151">
        <v>4800</v>
      </c>
      <c r="Q61" s="3151">
        <v>5889.34</v>
      </c>
      <c r="R61" s="3151">
        <v>547296</v>
      </c>
      <c r="S61" s="3151">
        <v>4800</v>
      </c>
      <c r="T61" s="3151">
        <v>5889.3361000000004</v>
      </c>
      <c r="U61" s="3151">
        <v>547296</v>
      </c>
      <c r="V61" s="3153"/>
      <c r="W61" s="3153"/>
      <c r="X61" s="3153"/>
      <c r="Y61" s="3153"/>
      <c r="Z61" s="3152">
        <v>0</v>
      </c>
      <c r="AA61" s="3153"/>
      <c r="AB61" s="3151">
        <v>0</v>
      </c>
      <c r="AC61" s="3154">
        <v>44028</v>
      </c>
      <c r="AD61" s="3154">
        <v>45264.773614039354</v>
      </c>
      <c r="AE61" s="3154">
        <v>44090.402999074075</v>
      </c>
      <c r="AF61" s="3149"/>
      <c r="AG61" s="3149"/>
      <c r="AH61" s="3149"/>
      <c r="AI61" s="3149"/>
      <c r="AJ61" s="3149"/>
      <c r="AK61" s="3154">
        <v>44834</v>
      </c>
      <c r="AL61" s="3154">
        <v>44028</v>
      </c>
      <c r="AM61" s="3149"/>
      <c r="AN61" s="3149"/>
      <c r="AO61" s="3149"/>
      <c r="AP61" s="3149"/>
      <c r="AQ61" s="3149"/>
      <c r="AR61" s="3149"/>
      <c r="AS61" s="3149"/>
      <c r="AT61" s="3149"/>
    </row>
    <row r="62" spans="1:46" ht="33.75">
      <c r="A62" s="3149">
        <v>54</v>
      </c>
      <c r="B62" s="3149" t="s">
        <v>3488</v>
      </c>
      <c r="C62" s="3149" t="s">
        <v>3489</v>
      </c>
      <c r="D62" s="3149" t="s">
        <v>3490</v>
      </c>
      <c r="E62" s="3149" t="s">
        <v>3491</v>
      </c>
      <c r="F62" s="3149" t="s">
        <v>3546</v>
      </c>
      <c r="G62" s="3149" t="s">
        <v>3528</v>
      </c>
      <c r="H62" s="3149" t="s">
        <v>3494</v>
      </c>
      <c r="I62" s="3149" t="s">
        <v>3495</v>
      </c>
      <c r="J62" s="3149" t="s">
        <v>3389</v>
      </c>
      <c r="K62" s="3149" t="s">
        <v>3496</v>
      </c>
      <c r="L62" s="3150">
        <v>114.02</v>
      </c>
      <c r="M62" s="3150">
        <v>92.93</v>
      </c>
      <c r="N62" s="3161">
        <v>114.02</v>
      </c>
      <c r="O62" s="3150">
        <v>92.93</v>
      </c>
      <c r="P62" s="3151">
        <v>9347.99</v>
      </c>
      <c r="Q62" s="3151">
        <v>11469.47</v>
      </c>
      <c r="R62" s="3151">
        <v>1065858</v>
      </c>
      <c r="S62" s="3151">
        <v>10898.456399999999</v>
      </c>
      <c r="T62" s="3151">
        <v>13371.806699999999</v>
      </c>
      <c r="U62" s="3151">
        <v>1242642</v>
      </c>
      <c r="V62" s="3151">
        <v>9348</v>
      </c>
      <c r="W62" s="3151">
        <v>11469.48</v>
      </c>
      <c r="X62" s="3151">
        <v>1065859</v>
      </c>
      <c r="Y62" s="3152">
        <v>1065859</v>
      </c>
      <c r="Z62" s="3152">
        <v>0</v>
      </c>
      <c r="AA62" s="3153"/>
      <c r="AB62" s="3151">
        <v>1065859</v>
      </c>
      <c r="AC62" s="3154">
        <v>44028</v>
      </c>
      <c r="AD62" s="3154">
        <v>44372.487411145834</v>
      </c>
      <c r="AE62" s="3154">
        <v>44090.402999074075</v>
      </c>
      <c r="AF62" s="3154">
        <v>44469</v>
      </c>
      <c r="AG62" s="3154">
        <v>44469</v>
      </c>
      <c r="AH62" s="3149"/>
      <c r="AI62" s="3149"/>
      <c r="AJ62" s="3154">
        <v>45199</v>
      </c>
      <c r="AK62" s="3154">
        <v>44834</v>
      </c>
      <c r="AL62" s="3154">
        <v>44028</v>
      </c>
      <c r="AM62" s="3149" t="s">
        <v>3516</v>
      </c>
      <c r="AN62" s="3149" t="s">
        <v>3553</v>
      </c>
      <c r="AO62" s="3149" t="s">
        <v>3518</v>
      </c>
      <c r="AP62" s="3149" t="s">
        <v>3499</v>
      </c>
      <c r="AQ62" s="3149" t="s">
        <v>3499</v>
      </c>
      <c r="AR62" s="3149" t="s">
        <v>3519</v>
      </c>
      <c r="AS62" s="3149" t="s">
        <v>3520</v>
      </c>
      <c r="AT62" s="3149"/>
    </row>
    <row r="63" spans="1:46" ht="33.75">
      <c r="A63" s="3149">
        <v>55</v>
      </c>
      <c r="B63" s="3149" t="s">
        <v>3488</v>
      </c>
      <c r="C63" s="3149" t="s">
        <v>3489</v>
      </c>
      <c r="D63" s="3149" t="s">
        <v>3490</v>
      </c>
      <c r="E63" s="3149" t="s">
        <v>3491</v>
      </c>
      <c r="F63" s="3149" t="s">
        <v>3546</v>
      </c>
      <c r="G63" s="3149" t="s">
        <v>3529</v>
      </c>
      <c r="H63" s="3149" t="s">
        <v>3494</v>
      </c>
      <c r="I63" s="3149" t="s">
        <v>3495</v>
      </c>
      <c r="J63" s="3149" t="s">
        <v>3389</v>
      </c>
      <c r="K63" s="3149" t="s">
        <v>3496</v>
      </c>
      <c r="L63" s="3150">
        <v>114.02</v>
      </c>
      <c r="M63" s="3150">
        <v>92.93</v>
      </c>
      <c r="N63" s="3161">
        <v>114.02</v>
      </c>
      <c r="O63" s="3150">
        <v>92.93</v>
      </c>
      <c r="P63" s="3151">
        <v>9157.99</v>
      </c>
      <c r="Q63" s="3151">
        <v>11236.35</v>
      </c>
      <c r="R63" s="3151">
        <v>1044194</v>
      </c>
      <c r="S63" s="3151">
        <v>10676.9339</v>
      </c>
      <c r="T63" s="3151">
        <v>13100.0108</v>
      </c>
      <c r="U63" s="3151">
        <v>1217384</v>
      </c>
      <c r="V63" s="3151">
        <v>9157.99</v>
      </c>
      <c r="W63" s="3151">
        <v>11236.35</v>
      </c>
      <c r="X63" s="3151">
        <v>1044194</v>
      </c>
      <c r="Y63" s="3152">
        <v>1044194</v>
      </c>
      <c r="Z63" s="3152">
        <v>0</v>
      </c>
      <c r="AA63" s="3153"/>
      <c r="AB63" s="3151">
        <v>1044194</v>
      </c>
      <c r="AC63" s="3154">
        <v>44028</v>
      </c>
      <c r="AD63" s="3154">
        <v>44372.487411145834</v>
      </c>
      <c r="AE63" s="3154">
        <v>44090.402999074075</v>
      </c>
      <c r="AF63" s="3154">
        <v>44394</v>
      </c>
      <c r="AG63" s="3154">
        <v>44394</v>
      </c>
      <c r="AH63" s="3149"/>
      <c r="AI63" s="3149"/>
      <c r="AJ63" s="3154">
        <v>45199</v>
      </c>
      <c r="AK63" s="3154">
        <v>44834</v>
      </c>
      <c r="AL63" s="3154">
        <v>44028</v>
      </c>
      <c r="AM63" s="3149" t="s">
        <v>3516</v>
      </c>
      <c r="AN63" s="3149" t="s">
        <v>3543</v>
      </c>
      <c r="AO63" s="3149" t="s">
        <v>3498</v>
      </c>
      <c r="AP63" s="3149" t="s">
        <v>3499</v>
      </c>
      <c r="AQ63" s="3149" t="s">
        <v>3499</v>
      </c>
      <c r="AR63" s="3149" t="s">
        <v>3519</v>
      </c>
      <c r="AS63" s="3149" t="s">
        <v>3520</v>
      </c>
      <c r="AT63" s="3149"/>
    </row>
    <row r="64" spans="1:46" ht="33.75">
      <c r="A64" s="3149">
        <v>56</v>
      </c>
      <c r="B64" s="3149" t="s">
        <v>3488</v>
      </c>
      <c r="C64" s="3149" t="s">
        <v>3489</v>
      </c>
      <c r="D64" s="3149" t="s">
        <v>3490</v>
      </c>
      <c r="E64" s="3149" t="s">
        <v>3491</v>
      </c>
      <c r="F64" s="3149" t="s">
        <v>3546</v>
      </c>
      <c r="G64" s="3149" t="s">
        <v>3530</v>
      </c>
      <c r="H64" s="3149" t="s">
        <v>3494</v>
      </c>
      <c r="I64" s="3149" t="s">
        <v>3495</v>
      </c>
      <c r="J64" s="3149" t="s">
        <v>3389</v>
      </c>
      <c r="K64" s="3149" t="s">
        <v>3496</v>
      </c>
      <c r="L64" s="3150">
        <v>114.02</v>
      </c>
      <c r="M64" s="3150">
        <v>92.93</v>
      </c>
      <c r="N64" s="3161">
        <v>114.02</v>
      </c>
      <c r="O64" s="3150">
        <v>92.93</v>
      </c>
      <c r="P64" s="3151">
        <v>9347.99</v>
      </c>
      <c r="Q64" s="3151">
        <v>11469.47</v>
      </c>
      <c r="R64" s="3151">
        <v>1065858</v>
      </c>
      <c r="S64" s="3151">
        <v>10898.456399999999</v>
      </c>
      <c r="T64" s="3151">
        <v>13371.806699999999</v>
      </c>
      <c r="U64" s="3151">
        <v>1242642</v>
      </c>
      <c r="V64" s="3151">
        <v>9348</v>
      </c>
      <c r="W64" s="3151">
        <v>11469.48</v>
      </c>
      <c r="X64" s="3151">
        <v>1065859</v>
      </c>
      <c r="Y64" s="3152">
        <v>1065859</v>
      </c>
      <c r="Z64" s="3152">
        <v>0</v>
      </c>
      <c r="AA64" s="3153"/>
      <c r="AB64" s="3151">
        <v>1065859</v>
      </c>
      <c r="AC64" s="3154">
        <v>44028</v>
      </c>
      <c r="AD64" s="3154">
        <v>44372.487411145834</v>
      </c>
      <c r="AE64" s="3154">
        <v>44090.402999074075</v>
      </c>
      <c r="AF64" s="3154">
        <v>44394</v>
      </c>
      <c r="AG64" s="3154">
        <v>44394</v>
      </c>
      <c r="AH64" s="3154">
        <v>45054</v>
      </c>
      <c r="AI64" s="3149"/>
      <c r="AJ64" s="3154">
        <v>45199</v>
      </c>
      <c r="AK64" s="3154">
        <v>44834</v>
      </c>
      <c r="AL64" s="3154">
        <v>44028</v>
      </c>
      <c r="AM64" s="3149" t="s">
        <v>3516</v>
      </c>
      <c r="AN64" s="3149" t="s">
        <v>3554</v>
      </c>
      <c r="AO64" s="3149" t="s">
        <v>3498</v>
      </c>
      <c r="AP64" s="3149" t="s">
        <v>3499</v>
      </c>
      <c r="AQ64" s="3149" t="s">
        <v>3499</v>
      </c>
      <c r="AR64" s="3149" t="s">
        <v>3519</v>
      </c>
      <c r="AS64" s="3149" t="s">
        <v>3520</v>
      </c>
      <c r="AT64" s="3149"/>
    </row>
    <row r="65" spans="1:46" ht="33.75">
      <c r="A65" s="3149">
        <v>57</v>
      </c>
      <c r="B65" s="3149" t="s">
        <v>3488</v>
      </c>
      <c r="C65" s="3149" t="s">
        <v>3489</v>
      </c>
      <c r="D65" s="3149" t="s">
        <v>3490</v>
      </c>
      <c r="E65" s="3149" t="s">
        <v>3491</v>
      </c>
      <c r="F65" s="3149" t="s">
        <v>3546</v>
      </c>
      <c r="G65" s="3149" t="s">
        <v>3532</v>
      </c>
      <c r="H65" s="3149" t="s">
        <v>3494</v>
      </c>
      <c r="I65" s="3149" t="s">
        <v>3495</v>
      </c>
      <c r="J65" s="3149" t="s">
        <v>3389</v>
      </c>
      <c r="K65" s="3149" t="s">
        <v>3496</v>
      </c>
      <c r="L65" s="3150">
        <v>114.02</v>
      </c>
      <c r="M65" s="3150">
        <v>92.93</v>
      </c>
      <c r="N65" s="3161">
        <v>114.02</v>
      </c>
      <c r="O65" s="3150">
        <v>92.93</v>
      </c>
      <c r="P65" s="3151">
        <v>9639.99</v>
      </c>
      <c r="Q65" s="3151">
        <v>11827.74</v>
      </c>
      <c r="R65" s="3151">
        <v>1099152</v>
      </c>
      <c r="S65" s="3151">
        <v>11713.3748</v>
      </c>
      <c r="T65" s="3151">
        <v>14371.666800000001</v>
      </c>
      <c r="U65" s="3151">
        <v>1335559</v>
      </c>
      <c r="V65" s="3151">
        <v>10282.67</v>
      </c>
      <c r="W65" s="3151">
        <v>12616.27</v>
      </c>
      <c r="X65" s="3151">
        <v>1172430</v>
      </c>
      <c r="Y65" s="3152">
        <v>1172430</v>
      </c>
      <c r="Z65" s="3152">
        <v>0</v>
      </c>
      <c r="AA65" s="3153"/>
      <c r="AB65" s="3151">
        <v>1172430</v>
      </c>
      <c r="AC65" s="3154">
        <v>44028</v>
      </c>
      <c r="AD65" s="3154">
        <v>44089.755273182869</v>
      </c>
      <c r="AE65" s="3154">
        <v>44090.402999074075</v>
      </c>
      <c r="AF65" s="3154">
        <v>44156</v>
      </c>
      <c r="AG65" s="3154">
        <v>44157</v>
      </c>
      <c r="AH65" s="3154">
        <v>44179</v>
      </c>
      <c r="AI65" s="3154">
        <v>44182</v>
      </c>
      <c r="AJ65" s="3154">
        <v>44834</v>
      </c>
      <c r="AK65" s="3154">
        <v>44834</v>
      </c>
      <c r="AL65" s="3154">
        <v>44028</v>
      </c>
      <c r="AM65" s="3149" t="s">
        <v>3416</v>
      </c>
      <c r="AN65" s="3149" t="s">
        <v>3555</v>
      </c>
      <c r="AO65" s="3149" t="s">
        <v>3556</v>
      </c>
      <c r="AP65" s="3149" t="s">
        <v>3499</v>
      </c>
      <c r="AQ65" s="3149" t="s">
        <v>3499</v>
      </c>
      <c r="AR65" s="3149" t="s">
        <v>3500</v>
      </c>
      <c r="AS65" s="3149" t="s">
        <v>3501</v>
      </c>
      <c r="AT65" s="3149"/>
    </row>
    <row r="66" spans="1:46" ht="33.75">
      <c r="A66" s="3149">
        <v>58</v>
      </c>
      <c r="B66" s="3149" t="s">
        <v>3488</v>
      </c>
      <c r="C66" s="3149" t="s">
        <v>3489</v>
      </c>
      <c r="D66" s="3149" t="s">
        <v>3490</v>
      </c>
      <c r="E66" s="3149" t="s">
        <v>3491</v>
      </c>
      <c r="F66" s="3149" t="s">
        <v>3546</v>
      </c>
      <c r="G66" s="3149" t="s">
        <v>3534</v>
      </c>
      <c r="H66" s="3149" t="s">
        <v>3494</v>
      </c>
      <c r="I66" s="3149" t="s">
        <v>3495</v>
      </c>
      <c r="J66" s="3149" t="s">
        <v>3389</v>
      </c>
      <c r="K66" s="3149" t="s">
        <v>3496</v>
      </c>
      <c r="L66" s="3150">
        <v>114.02</v>
      </c>
      <c r="M66" s="3150">
        <v>92.93</v>
      </c>
      <c r="N66" s="3161">
        <v>114.02</v>
      </c>
      <c r="O66" s="3150">
        <v>92.93</v>
      </c>
      <c r="P66" s="3151">
        <v>9347.99</v>
      </c>
      <c r="Q66" s="3151">
        <v>11469.47</v>
      </c>
      <c r="R66" s="3151">
        <v>1065858</v>
      </c>
      <c r="S66" s="3151">
        <v>10898.456399999999</v>
      </c>
      <c r="T66" s="3151">
        <v>13371.806699999999</v>
      </c>
      <c r="U66" s="3151">
        <v>1242642</v>
      </c>
      <c r="V66" s="3151">
        <v>9348</v>
      </c>
      <c r="W66" s="3151">
        <v>11469.48</v>
      </c>
      <c r="X66" s="3151">
        <v>1065859</v>
      </c>
      <c r="Y66" s="3152">
        <v>1065859</v>
      </c>
      <c r="Z66" s="3152">
        <v>0</v>
      </c>
      <c r="AA66" s="3153"/>
      <c r="AB66" s="3151">
        <v>1065859</v>
      </c>
      <c r="AC66" s="3154">
        <v>44028</v>
      </c>
      <c r="AD66" s="3154">
        <v>44372.487411145834</v>
      </c>
      <c r="AE66" s="3154">
        <v>44090.402999074075</v>
      </c>
      <c r="AF66" s="3154">
        <v>44469</v>
      </c>
      <c r="AG66" s="3154">
        <v>44469</v>
      </c>
      <c r="AH66" s="3149"/>
      <c r="AI66" s="3149"/>
      <c r="AJ66" s="3154">
        <v>45199</v>
      </c>
      <c r="AK66" s="3154">
        <v>44834</v>
      </c>
      <c r="AL66" s="3154">
        <v>44028</v>
      </c>
      <c r="AM66" s="3149" t="s">
        <v>3516</v>
      </c>
      <c r="AN66" s="3149" t="s">
        <v>3553</v>
      </c>
      <c r="AO66" s="3149" t="s">
        <v>3518</v>
      </c>
      <c r="AP66" s="3149" t="s">
        <v>3499</v>
      </c>
      <c r="AQ66" s="3149" t="s">
        <v>3499</v>
      </c>
      <c r="AR66" s="3149" t="s">
        <v>3519</v>
      </c>
      <c r="AS66" s="3149" t="s">
        <v>3520</v>
      </c>
      <c r="AT66" s="3149"/>
    </row>
    <row r="67" spans="1:46" ht="33.75">
      <c r="A67" s="3149">
        <v>59</v>
      </c>
      <c r="B67" s="3149" t="s">
        <v>3488</v>
      </c>
      <c r="C67" s="3149" t="s">
        <v>3489</v>
      </c>
      <c r="D67" s="3149" t="s">
        <v>3490</v>
      </c>
      <c r="E67" s="3149" t="s">
        <v>3491</v>
      </c>
      <c r="F67" s="3149" t="s">
        <v>3546</v>
      </c>
      <c r="G67" s="3149" t="s">
        <v>3536</v>
      </c>
      <c r="H67" s="3149" t="s">
        <v>3509</v>
      </c>
      <c r="I67" s="3149" t="s">
        <v>3495</v>
      </c>
      <c r="J67" s="3149" t="s">
        <v>3389</v>
      </c>
      <c r="K67" s="3149" t="s">
        <v>3496</v>
      </c>
      <c r="L67" s="3150">
        <v>151.4</v>
      </c>
      <c r="M67" s="3150">
        <v>123.4</v>
      </c>
      <c r="N67" s="3161">
        <v>151.4</v>
      </c>
      <c r="O67" s="3150">
        <v>123.4</v>
      </c>
      <c r="P67" s="3151">
        <v>4400</v>
      </c>
      <c r="Q67" s="3151">
        <v>5398.38</v>
      </c>
      <c r="R67" s="3151">
        <v>666160</v>
      </c>
      <c r="S67" s="3151">
        <v>4400</v>
      </c>
      <c r="T67" s="3151">
        <v>5398.3792999999996</v>
      </c>
      <c r="U67" s="3151">
        <v>666160</v>
      </c>
      <c r="V67" s="3153"/>
      <c r="W67" s="3153"/>
      <c r="X67" s="3153"/>
      <c r="Y67" s="3153"/>
      <c r="Z67" s="3152">
        <v>0</v>
      </c>
      <c r="AA67" s="3153"/>
      <c r="AB67" s="3151">
        <v>0</v>
      </c>
      <c r="AC67" s="3154">
        <v>44028</v>
      </c>
      <c r="AD67" s="3154">
        <v>45264.773614039354</v>
      </c>
      <c r="AE67" s="3154">
        <v>44090.402999074075</v>
      </c>
      <c r="AF67" s="3149"/>
      <c r="AG67" s="3149"/>
      <c r="AH67" s="3149"/>
      <c r="AI67" s="3149"/>
      <c r="AJ67" s="3149"/>
      <c r="AK67" s="3154">
        <v>44834</v>
      </c>
      <c r="AL67" s="3154">
        <v>44028</v>
      </c>
      <c r="AM67" s="3149"/>
      <c r="AN67" s="3149"/>
      <c r="AO67" s="3149"/>
      <c r="AP67" s="3149"/>
      <c r="AQ67" s="3149"/>
      <c r="AR67" s="3149"/>
      <c r="AS67" s="3149"/>
      <c r="AT67" s="3149"/>
    </row>
    <row r="68" spans="1:46" ht="33.75">
      <c r="A68" s="3149">
        <v>60</v>
      </c>
      <c r="B68" s="3149" t="s">
        <v>3488</v>
      </c>
      <c r="C68" s="3149" t="s">
        <v>3489</v>
      </c>
      <c r="D68" s="3149" t="s">
        <v>3490</v>
      </c>
      <c r="E68" s="3149" t="s">
        <v>3491</v>
      </c>
      <c r="F68" s="3149" t="s">
        <v>3546</v>
      </c>
      <c r="G68" s="3149" t="s">
        <v>3537</v>
      </c>
      <c r="H68" s="3149" t="s">
        <v>3509</v>
      </c>
      <c r="I68" s="3149" t="s">
        <v>3495</v>
      </c>
      <c r="J68" s="3149" t="s">
        <v>3389</v>
      </c>
      <c r="K68" s="3149" t="s">
        <v>3496</v>
      </c>
      <c r="L68" s="3150">
        <v>155.27000000000001</v>
      </c>
      <c r="M68" s="3150">
        <v>126.55</v>
      </c>
      <c r="N68" s="3161">
        <v>155.27000000000001</v>
      </c>
      <c r="O68" s="3150">
        <v>126.55</v>
      </c>
      <c r="P68" s="3151">
        <v>4400</v>
      </c>
      <c r="Q68" s="3151">
        <v>5398.56</v>
      </c>
      <c r="R68" s="3151">
        <v>683188</v>
      </c>
      <c r="S68" s="3151">
        <v>4400</v>
      </c>
      <c r="T68" s="3151">
        <v>5398.5618000000004</v>
      </c>
      <c r="U68" s="3151">
        <v>683188</v>
      </c>
      <c r="V68" s="3153"/>
      <c r="W68" s="3153"/>
      <c r="X68" s="3153"/>
      <c r="Y68" s="3153"/>
      <c r="Z68" s="3152">
        <v>0</v>
      </c>
      <c r="AA68" s="3153"/>
      <c r="AB68" s="3151">
        <v>0</v>
      </c>
      <c r="AC68" s="3154">
        <v>44028</v>
      </c>
      <c r="AD68" s="3154">
        <v>45264.773614039354</v>
      </c>
      <c r="AE68" s="3154">
        <v>44090.402999074075</v>
      </c>
      <c r="AF68" s="3149"/>
      <c r="AG68" s="3149"/>
      <c r="AH68" s="3149"/>
      <c r="AI68" s="3149"/>
      <c r="AJ68" s="3149"/>
      <c r="AK68" s="3154">
        <v>44834</v>
      </c>
      <c r="AL68" s="3154">
        <v>44028</v>
      </c>
      <c r="AM68" s="3149"/>
      <c r="AN68" s="3149"/>
      <c r="AO68" s="3149"/>
      <c r="AP68" s="3149"/>
      <c r="AQ68" s="3149"/>
      <c r="AR68" s="3149"/>
      <c r="AS68" s="3149"/>
      <c r="AT68" s="3149"/>
    </row>
    <row r="69" spans="1:46" ht="33.75">
      <c r="A69" s="3149">
        <v>61</v>
      </c>
      <c r="B69" s="3149" t="s">
        <v>3488</v>
      </c>
      <c r="C69" s="3149" t="s">
        <v>3489</v>
      </c>
      <c r="D69" s="3149" t="s">
        <v>3490</v>
      </c>
      <c r="E69" s="3149" t="s">
        <v>3557</v>
      </c>
      <c r="F69" s="3149" t="s">
        <v>3492</v>
      </c>
      <c r="G69" s="3149" t="s">
        <v>3493</v>
      </c>
      <c r="H69" s="3149" t="s">
        <v>3494</v>
      </c>
      <c r="I69" s="3149" t="s">
        <v>113</v>
      </c>
      <c r="J69" s="3149" t="s">
        <v>3389</v>
      </c>
      <c r="K69" s="3149" t="s">
        <v>3496</v>
      </c>
      <c r="L69" s="3150">
        <v>113.89</v>
      </c>
      <c r="M69" s="3150">
        <v>92.93</v>
      </c>
      <c r="N69" s="3161">
        <v>113.89</v>
      </c>
      <c r="O69" s="3150">
        <v>92.93</v>
      </c>
      <c r="P69" s="3151">
        <v>14500</v>
      </c>
      <c r="Q69" s="3151">
        <v>17770.419999999998</v>
      </c>
      <c r="R69" s="3151">
        <v>1651405</v>
      </c>
      <c r="S69" s="3151">
        <v>14500</v>
      </c>
      <c r="T69" s="3151">
        <v>17770.418600000001</v>
      </c>
      <c r="U69" s="3151">
        <v>1651405</v>
      </c>
      <c r="V69" s="3151">
        <v>14500</v>
      </c>
      <c r="W69" s="3151">
        <v>17770.419999999998</v>
      </c>
      <c r="X69" s="3151">
        <v>1651405</v>
      </c>
      <c r="Y69" s="3152">
        <v>1651405</v>
      </c>
      <c r="Z69" s="3152">
        <v>0</v>
      </c>
      <c r="AA69" s="3153"/>
      <c r="AB69" s="3151">
        <v>1651405</v>
      </c>
      <c r="AC69" s="3154">
        <v>43819</v>
      </c>
      <c r="AD69" s="3154">
        <v>44074.608689583329</v>
      </c>
      <c r="AE69" s="3154">
        <v>43847.467454201389</v>
      </c>
      <c r="AF69" s="3154">
        <v>44074</v>
      </c>
      <c r="AG69" s="3154">
        <v>44074</v>
      </c>
      <c r="AH69" s="3154">
        <v>44114</v>
      </c>
      <c r="AI69" s="3154">
        <v>44127</v>
      </c>
      <c r="AJ69" s="3154">
        <v>44834</v>
      </c>
      <c r="AK69" s="3149"/>
      <c r="AL69" s="3154">
        <v>43814</v>
      </c>
      <c r="AM69" s="3149" t="s">
        <v>3416</v>
      </c>
      <c r="AN69" s="3149" t="s">
        <v>3558</v>
      </c>
      <c r="AO69" s="3149" t="s">
        <v>3498</v>
      </c>
      <c r="AP69" s="3149" t="s">
        <v>3499</v>
      </c>
      <c r="AQ69" s="3149" t="s">
        <v>3499</v>
      </c>
      <c r="AR69" s="3149" t="s">
        <v>3505</v>
      </c>
      <c r="AS69" s="3149" t="s">
        <v>3506</v>
      </c>
      <c r="AT69" s="3149" t="s">
        <v>3507</v>
      </c>
    </row>
    <row r="70" spans="1:46" ht="33.75">
      <c r="A70" s="3149">
        <v>62</v>
      </c>
      <c r="B70" s="3149" t="s">
        <v>3488</v>
      </c>
      <c r="C70" s="3149" t="s">
        <v>3489</v>
      </c>
      <c r="D70" s="3149" t="s">
        <v>3490</v>
      </c>
      <c r="E70" s="3149" t="s">
        <v>3557</v>
      </c>
      <c r="F70" s="3149" t="s">
        <v>3492</v>
      </c>
      <c r="G70" s="3149" t="s">
        <v>3502</v>
      </c>
      <c r="H70" s="3149" t="s">
        <v>3509</v>
      </c>
      <c r="I70" s="3149" t="s">
        <v>113</v>
      </c>
      <c r="J70" s="3149" t="s">
        <v>3389</v>
      </c>
      <c r="K70" s="3149" t="s">
        <v>3496</v>
      </c>
      <c r="L70" s="3150">
        <v>113.89</v>
      </c>
      <c r="M70" s="3150">
        <v>92.93</v>
      </c>
      <c r="N70" s="3161">
        <v>113.89</v>
      </c>
      <c r="O70" s="3150">
        <v>92.93</v>
      </c>
      <c r="P70" s="3151">
        <v>5900</v>
      </c>
      <c r="Q70" s="3151">
        <v>7230.72</v>
      </c>
      <c r="R70" s="3151">
        <v>671951</v>
      </c>
      <c r="S70" s="3151">
        <v>5900</v>
      </c>
      <c r="T70" s="3151">
        <v>7230.7219999999998</v>
      </c>
      <c r="U70" s="3151">
        <v>671951</v>
      </c>
      <c r="V70" s="3153"/>
      <c r="W70" s="3153"/>
      <c r="X70" s="3153"/>
      <c r="Y70" s="3153"/>
      <c r="Z70" s="3152">
        <v>0</v>
      </c>
      <c r="AA70" s="3153"/>
      <c r="AB70" s="3151">
        <v>0</v>
      </c>
      <c r="AC70" s="3154">
        <v>43819</v>
      </c>
      <c r="AD70" s="3154">
        <v>45264.773614039354</v>
      </c>
      <c r="AE70" s="3154">
        <v>43847.467454201389</v>
      </c>
      <c r="AF70" s="3149"/>
      <c r="AG70" s="3149"/>
      <c r="AH70" s="3149"/>
      <c r="AI70" s="3149"/>
      <c r="AJ70" s="3149"/>
      <c r="AK70" s="3149"/>
      <c r="AL70" s="3154">
        <v>43814</v>
      </c>
      <c r="AM70" s="3149"/>
      <c r="AN70" s="3149"/>
      <c r="AO70" s="3149"/>
      <c r="AP70" s="3149"/>
      <c r="AQ70" s="3149"/>
      <c r="AR70" s="3149"/>
      <c r="AS70" s="3149"/>
      <c r="AT70" s="3149"/>
    </row>
    <row r="71" spans="1:46" ht="33.75">
      <c r="A71" s="3149">
        <v>63</v>
      </c>
      <c r="B71" s="3149" t="s">
        <v>3488</v>
      </c>
      <c r="C71" s="3149" t="s">
        <v>3489</v>
      </c>
      <c r="D71" s="3149" t="s">
        <v>3490</v>
      </c>
      <c r="E71" s="3149" t="s">
        <v>3557</v>
      </c>
      <c r="F71" s="3149" t="s">
        <v>3492</v>
      </c>
      <c r="G71" s="3149" t="s">
        <v>3508</v>
      </c>
      <c r="H71" s="3149" t="s">
        <v>3494</v>
      </c>
      <c r="I71" s="3149" t="s">
        <v>113</v>
      </c>
      <c r="J71" s="3149" t="s">
        <v>3389</v>
      </c>
      <c r="K71" s="3149" t="s">
        <v>3496</v>
      </c>
      <c r="L71" s="3150">
        <v>113.89</v>
      </c>
      <c r="M71" s="3150">
        <v>92.93</v>
      </c>
      <c r="N71" s="3161">
        <v>113.89</v>
      </c>
      <c r="O71" s="3150">
        <v>92.93</v>
      </c>
      <c r="P71" s="3151">
        <v>8500</v>
      </c>
      <c r="Q71" s="3151">
        <v>10417.14</v>
      </c>
      <c r="R71" s="3151">
        <v>968065</v>
      </c>
      <c r="S71" s="3151">
        <v>9909.8165000000008</v>
      </c>
      <c r="T71" s="3151">
        <v>12144.937</v>
      </c>
      <c r="U71" s="3151">
        <v>1128629</v>
      </c>
      <c r="V71" s="3151">
        <v>8500.01</v>
      </c>
      <c r="W71" s="3151">
        <v>10417.15</v>
      </c>
      <c r="X71" s="3151">
        <v>968066</v>
      </c>
      <c r="Y71" s="3152">
        <v>968066</v>
      </c>
      <c r="Z71" s="3152">
        <v>0</v>
      </c>
      <c r="AA71" s="3153"/>
      <c r="AB71" s="3151">
        <v>968066</v>
      </c>
      <c r="AC71" s="3154">
        <v>43819</v>
      </c>
      <c r="AD71" s="3154">
        <v>44372.487411145834</v>
      </c>
      <c r="AE71" s="3154">
        <v>43847.467454201389</v>
      </c>
      <c r="AF71" s="3154">
        <v>44393</v>
      </c>
      <c r="AG71" s="3154">
        <v>44393</v>
      </c>
      <c r="AH71" s="3154">
        <v>44928</v>
      </c>
      <c r="AI71" s="3154">
        <v>44932</v>
      </c>
      <c r="AJ71" s="3154">
        <v>45199</v>
      </c>
      <c r="AK71" s="3149"/>
      <c r="AL71" s="3154">
        <v>43814</v>
      </c>
      <c r="AM71" s="3149" t="s">
        <v>3516</v>
      </c>
      <c r="AN71" s="3149" t="s">
        <v>3559</v>
      </c>
      <c r="AO71" s="3149" t="s">
        <v>3540</v>
      </c>
      <c r="AP71" s="3149" t="s">
        <v>3499</v>
      </c>
      <c r="AQ71" s="3149" t="s">
        <v>3499</v>
      </c>
      <c r="AR71" s="3149" t="s">
        <v>3519</v>
      </c>
      <c r="AS71" s="3149" t="s">
        <v>3520</v>
      </c>
      <c r="AT71" s="3149"/>
    </row>
    <row r="72" spans="1:46" ht="33.75">
      <c r="A72" s="3149">
        <v>64</v>
      </c>
      <c r="B72" s="3149" t="s">
        <v>3488</v>
      </c>
      <c r="C72" s="3149" t="s">
        <v>3489</v>
      </c>
      <c r="D72" s="3149" t="s">
        <v>3490</v>
      </c>
      <c r="E72" s="3149" t="s">
        <v>3557</v>
      </c>
      <c r="F72" s="3149" t="s">
        <v>3492</v>
      </c>
      <c r="G72" s="3149" t="s">
        <v>3510</v>
      </c>
      <c r="H72" s="3149" t="s">
        <v>3494</v>
      </c>
      <c r="I72" s="3149" t="s">
        <v>113</v>
      </c>
      <c r="J72" s="3149" t="s">
        <v>3389</v>
      </c>
      <c r="K72" s="3149" t="s">
        <v>3496</v>
      </c>
      <c r="L72" s="3150">
        <v>113.89</v>
      </c>
      <c r="M72" s="3150">
        <v>92.93</v>
      </c>
      <c r="N72" s="3161">
        <v>113.89</v>
      </c>
      <c r="O72" s="3150">
        <v>92.93</v>
      </c>
      <c r="P72" s="3151">
        <v>8500</v>
      </c>
      <c r="Q72" s="3151">
        <v>10417.14</v>
      </c>
      <c r="R72" s="3151">
        <v>968065</v>
      </c>
      <c r="S72" s="3151">
        <v>11074.563200000001</v>
      </c>
      <c r="T72" s="3151">
        <v>13572.3878</v>
      </c>
      <c r="U72" s="3151">
        <v>1261282</v>
      </c>
      <c r="V72" s="3151">
        <v>8500</v>
      </c>
      <c r="W72" s="3151">
        <v>10417.14</v>
      </c>
      <c r="X72" s="3151">
        <v>968065</v>
      </c>
      <c r="Y72" s="3152">
        <v>968065</v>
      </c>
      <c r="Z72" s="3152">
        <v>0</v>
      </c>
      <c r="AA72" s="3153"/>
      <c r="AB72" s="3151">
        <v>968065</v>
      </c>
      <c r="AC72" s="3154">
        <v>43819</v>
      </c>
      <c r="AD72" s="3154">
        <v>44335.729739895833</v>
      </c>
      <c r="AE72" s="3154">
        <v>43847.467454201389</v>
      </c>
      <c r="AF72" s="3154">
        <v>44345</v>
      </c>
      <c r="AG72" s="3154">
        <v>44346</v>
      </c>
      <c r="AH72" s="3154">
        <v>44557</v>
      </c>
      <c r="AI72" s="3154">
        <v>44571</v>
      </c>
      <c r="AJ72" s="3154">
        <v>44834</v>
      </c>
      <c r="AK72" s="3149"/>
      <c r="AL72" s="3154">
        <v>43814</v>
      </c>
      <c r="AM72" s="3149" t="s">
        <v>3416</v>
      </c>
      <c r="AN72" s="3149" t="s">
        <v>3560</v>
      </c>
      <c r="AO72" s="3149" t="s">
        <v>3540</v>
      </c>
      <c r="AP72" s="3149" t="s">
        <v>3499</v>
      </c>
      <c r="AQ72" s="3149" t="s">
        <v>3499</v>
      </c>
      <c r="AR72" s="3149" t="s">
        <v>3505</v>
      </c>
      <c r="AS72" s="3149" t="s">
        <v>3561</v>
      </c>
      <c r="AT72" s="3149" t="s">
        <v>3519</v>
      </c>
    </row>
    <row r="73" spans="1:46" ht="33.75">
      <c r="A73" s="3149">
        <v>65</v>
      </c>
      <c r="B73" s="3149" t="s">
        <v>3488</v>
      </c>
      <c r="C73" s="3149" t="s">
        <v>3489</v>
      </c>
      <c r="D73" s="3149" t="s">
        <v>3490</v>
      </c>
      <c r="E73" s="3149" t="s">
        <v>3557</v>
      </c>
      <c r="F73" s="3149" t="s">
        <v>3492</v>
      </c>
      <c r="G73" s="3149" t="s">
        <v>3511</v>
      </c>
      <c r="H73" s="3149" t="s">
        <v>3494</v>
      </c>
      <c r="I73" s="3149" t="s">
        <v>113</v>
      </c>
      <c r="J73" s="3149" t="s">
        <v>3389</v>
      </c>
      <c r="K73" s="3149" t="s">
        <v>3496</v>
      </c>
      <c r="L73" s="3150">
        <v>113.89</v>
      </c>
      <c r="M73" s="3150">
        <v>92.93</v>
      </c>
      <c r="N73" s="3161">
        <v>113.89</v>
      </c>
      <c r="O73" s="3150">
        <v>92.93</v>
      </c>
      <c r="P73" s="3151">
        <v>11293</v>
      </c>
      <c r="Q73" s="3151">
        <v>13840.09</v>
      </c>
      <c r="R73" s="3151">
        <v>1286160</v>
      </c>
      <c r="S73" s="3151">
        <v>11882.369000000001</v>
      </c>
      <c r="T73" s="3151">
        <v>14562.391</v>
      </c>
      <c r="U73" s="3151">
        <v>1353283</v>
      </c>
      <c r="V73" s="3151">
        <v>11293</v>
      </c>
      <c r="W73" s="3151">
        <v>13840.09</v>
      </c>
      <c r="X73" s="3151">
        <v>1286160</v>
      </c>
      <c r="Y73" s="3152">
        <v>1286160</v>
      </c>
      <c r="Z73" s="3152">
        <v>0</v>
      </c>
      <c r="AA73" s="3153"/>
      <c r="AB73" s="3151">
        <v>1286160</v>
      </c>
      <c r="AC73" s="3154">
        <v>43819</v>
      </c>
      <c r="AD73" s="3154">
        <v>43847.46574915509</v>
      </c>
      <c r="AE73" s="3154">
        <v>43847.467454201389</v>
      </c>
      <c r="AF73" s="3154">
        <v>43972</v>
      </c>
      <c r="AG73" s="3154">
        <v>43972</v>
      </c>
      <c r="AH73" s="3154">
        <v>44129</v>
      </c>
      <c r="AI73" s="3154">
        <v>44134</v>
      </c>
      <c r="AJ73" s="3154">
        <v>44834</v>
      </c>
      <c r="AK73" s="3149"/>
      <c r="AL73" s="3154">
        <v>43814</v>
      </c>
      <c r="AM73" s="3149" t="s">
        <v>3516</v>
      </c>
      <c r="AN73" s="3149" t="s">
        <v>3562</v>
      </c>
      <c r="AO73" s="3149" t="s">
        <v>3556</v>
      </c>
      <c r="AP73" s="3149" t="s">
        <v>3499</v>
      </c>
      <c r="AQ73" s="3149" t="s">
        <v>3499</v>
      </c>
      <c r="AR73" s="3149" t="s">
        <v>3519</v>
      </c>
      <c r="AS73" s="3149" t="s">
        <v>3520</v>
      </c>
      <c r="AT73" s="3149"/>
    </row>
    <row r="74" spans="1:46" ht="33.75">
      <c r="A74" s="3149">
        <v>66</v>
      </c>
      <c r="B74" s="3149" t="s">
        <v>3488</v>
      </c>
      <c r="C74" s="3149" t="s">
        <v>3489</v>
      </c>
      <c r="D74" s="3149" t="s">
        <v>3490</v>
      </c>
      <c r="E74" s="3149" t="s">
        <v>3557</v>
      </c>
      <c r="F74" s="3149" t="s">
        <v>3492</v>
      </c>
      <c r="G74" s="3149" t="s">
        <v>3512</v>
      </c>
      <c r="H74" s="3149" t="s">
        <v>3494</v>
      </c>
      <c r="I74" s="3149" t="s">
        <v>113</v>
      </c>
      <c r="J74" s="3149" t="s">
        <v>3389</v>
      </c>
      <c r="K74" s="3149" t="s">
        <v>3496</v>
      </c>
      <c r="L74" s="3150">
        <v>113.89</v>
      </c>
      <c r="M74" s="3150">
        <v>92.93</v>
      </c>
      <c r="N74" s="3161">
        <v>113.89</v>
      </c>
      <c r="O74" s="3150">
        <v>92.93</v>
      </c>
      <c r="P74" s="3151">
        <v>9999</v>
      </c>
      <c r="Q74" s="3151">
        <v>12254.23</v>
      </c>
      <c r="R74" s="3151">
        <v>1138786</v>
      </c>
      <c r="S74" s="3151">
        <v>11777.1446</v>
      </c>
      <c r="T74" s="3151">
        <v>14433.433800000001</v>
      </c>
      <c r="U74" s="3151">
        <v>1341299</v>
      </c>
      <c r="V74" s="3151">
        <v>9999</v>
      </c>
      <c r="W74" s="3151">
        <v>12254.23</v>
      </c>
      <c r="X74" s="3151">
        <v>1138786</v>
      </c>
      <c r="Y74" s="3152">
        <v>1138786</v>
      </c>
      <c r="Z74" s="3152">
        <v>0</v>
      </c>
      <c r="AA74" s="3153"/>
      <c r="AB74" s="3151">
        <v>1138786</v>
      </c>
      <c r="AC74" s="3154">
        <v>43819</v>
      </c>
      <c r="AD74" s="3154">
        <v>44081.738156053238</v>
      </c>
      <c r="AE74" s="3154">
        <v>43847.467454201389</v>
      </c>
      <c r="AF74" s="3154">
        <v>44164</v>
      </c>
      <c r="AG74" s="3154">
        <v>44164</v>
      </c>
      <c r="AH74" s="3154">
        <v>44164</v>
      </c>
      <c r="AI74" s="3154">
        <v>44168</v>
      </c>
      <c r="AJ74" s="3154">
        <v>44834</v>
      </c>
      <c r="AK74" s="3149"/>
      <c r="AL74" s="3154">
        <v>43814</v>
      </c>
      <c r="AM74" s="3149" t="s">
        <v>3416</v>
      </c>
      <c r="AN74" s="3149" t="s">
        <v>3563</v>
      </c>
      <c r="AO74" s="3149" t="s">
        <v>3552</v>
      </c>
      <c r="AP74" s="3149"/>
      <c r="AQ74" s="3149"/>
      <c r="AR74" s="3149" t="s">
        <v>3505</v>
      </c>
      <c r="AS74" s="3149" t="s">
        <v>3561</v>
      </c>
      <c r="AT74" s="3149" t="s">
        <v>3519</v>
      </c>
    </row>
    <row r="75" spans="1:46" ht="33.75">
      <c r="A75" s="3149">
        <v>67</v>
      </c>
      <c r="B75" s="3149" t="s">
        <v>3488</v>
      </c>
      <c r="C75" s="3149" t="s">
        <v>3489</v>
      </c>
      <c r="D75" s="3149" t="s">
        <v>3490</v>
      </c>
      <c r="E75" s="3149" t="s">
        <v>3557</v>
      </c>
      <c r="F75" s="3149" t="s">
        <v>3492</v>
      </c>
      <c r="G75" s="3149" t="s">
        <v>3513</v>
      </c>
      <c r="H75" s="3149" t="s">
        <v>3494</v>
      </c>
      <c r="I75" s="3149" t="s">
        <v>113</v>
      </c>
      <c r="J75" s="3149" t="s">
        <v>3389</v>
      </c>
      <c r="K75" s="3149" t="s">
        <v>3496</v>
      </c>
      <c r="L75" s="3150">
        <v>113.89</v>
      </c>
      <c r="M75" s="3150">
        <v>92.93</v>
      </c>
      <c r="N75" s="3161">
        <v>113.89</v>
      </c>
      <c r="O75" s="3150">
        <v>92.93</v>
      </c>
      <c r="P75" s="3151">
        <v>9500</v>
      </c>
      <c r="Q75" s="3151">
        <v>11642.69</v>
      </c>
      <c r="R75" s="3151">
        <v>1081955</v>
      </c>
      <c r="S75" s="3151">
        <v>11934.972299999999</v>
      </c>
      <c r="T75" s="3151">
        <v>14626.858899999999</v>
      </c>
      <c r="U75" s="3151">
        <v>1359274</v>
      </c>
      <c r="V75" s="3151">
        <v>9999</v>
      </c>
      <c r="W75" s="3151">
        <v>12254.23</v>
      </c>
      <c r="X75" s="3151">
        <v>1138786</v>
      </c>
      <c r="Y75" s="3152">
        <v>1138786</v>
      </c>
      <c r="Z75" s="3152">
        <v>0</v>
      </c>
      <c r="AA75" s="3153"/>
      <c r="AB75" s="3151">
        <v>1138786</v>
      </c>
      <c r="AC75" s="3154">
        <v>43819</v>
      </c>
      <c r="AD75" s="3154">
        <v>44102.575221215273</v>
      </c>
      <c r="AE75" s="3154">
        <v>43847.467454201389</v>
      </c>
      <c r="AF75" s="3154">
        <v>44122</v>
      </c>
      <c r="AG75" s="3154">
        <v>44123</v>
      </c>
      <c r="AH75" s="3154">
        <v>44149</v>
      </c>
      <c r="AI75" s="3154">
        <v>44154</v>
      </c>
      <c r="AJ75" s="3154">
        <v>44834</v>
      </c>
      <c r="AK75" s="3149"/>
      <c r="AL75" s="3154">
        <v>43814</v>
      </c>
      <c r="AM75" s="3149" t="s">
        <v>3416</v>
      </c>
      <c r="AN75" s="3149" t="s">
        <v>3564</v>
      </c>
      <c r="AO75" s="3149" t="s">
        <v>3548</v>
      </c>
      <c r="AP75" s="3149"/>
      <c r="AQ75" s="3149"/>
      <c r="AR75" s="3149" t="s">
        <v>3500</v>
      </c>
      <c r="AS75" s="3149" t="s">
        <v>3501</v>
      </c>
      <c r="AT75" s="3149"/>
    </row>
    <row r="76" spans="1:46" ht="33.75">
      <c r="A76" s="3149">
        <v>68</v>
      </c>
      <c r="B76" s="3149" t="s">
        <v>3488</v>
      </c>
      <c r="C76" s="3149" t="s">
        <v>3489</v>
      </c>
      <c r="D76" s="3149" t="s">
        <v>3490</v>
      </c>
      <c r="E76" s="3149" t="s">
        <v>3557</v>
      </c>
      <c r="F76" s="3149" t="s">
        <v>3492</v>
      </c>
      <c r="G76" s="3149" t="s">
        <v>3514</v>
      </c>
      <c r="H76" s="3149" t="s">
        <v>3494</v>
      </c>
      <c r="I76" s="3149" t="s">
        <v>113</v>
      </c>
      <c r="J76" s="3149" t="s">
        <v>3389</v>
      </c>
      <c r="K76" s="3149" t="s">
        <v>3496</v>
      </c>
      <c r="L76" s="3150">
        <v>113.89</v>
      </c>
      <c r="M76" s="3150">
        <v>92.93</v>
      </c>
      <c r="N76" s="3161">
        <v>113.89</v>
      </c>
      <c r="O76" s="3150">
        <v>92.93</v>
      </c>
      <c r="P76" s="3151">
        <v>9999</v>
      </c>
      <c r="Q76" s="3151">
        <v>12254.23</v>
      </c>
      <c r="R76" s="3151">
        <v>1138786</v>
      </c>
      <c r="S76" s="3151">
        <v>11829.756799999999</v>
      </c>
      <c r="T76" s="3151">
        <v>14497.912399999999</v>
      </c>
      <c r="U76" s="3151">
        <v>1347291</v>
      </c>
      <c r="V76" s="3151">
        <v>9999</v>
      </c>
      <c r="W76" s="3151">
        <v>12254.23</v>
      </c>
      <c r="X76" s="3151">
        <v>1138786</v>
      </c>
      <c r="Y76" s="3152">
        <v>1138786</v>
      </c>
      <c r="Z76" s="3152">
        <v>0</v>
      </c>
      <c r="AA76" s="3153"/>
      <c r="AB76" s="3151">
        <v>1138786</v>
      </c>
      <c r="AC76" s="3154">
        <v>43819</v>
      </c>
      <c r="AD76" s="3154">
        <v>44081.738156053238</v>
      </c>
      <c r="AE76" s="3154">
        <v>43847.467454201389</v>
      </c>
      <c r="AF76" s="3154">
        <v>44104</v>
      </c>
      <c r="AG76" s="3154">
        <v>44104</v>
      </c>
      <c r="AH76" s="3154">
        <v>44128</v>
      </c>
      <c r="AI76" s="3154">
        <v>44134</v>
      </c>
      <c r="AJ76" s="3154">
        <v>44834</v>
      </c>
      <c r="AK76" s="3149"/>
      <c r="AL76" s="3154">
        <v>43814</v>
      </c>
      <c r="AM76" s="3149" t="s">
        <v>3416</v>
      </c>
      <c r="AN76" s="3149" t="s">
        <v>3565</v>
      </c>
      <c r="AO76" s="3149" t="s">
        <v>3556</v>
      </c>
      <c r="AP76" s="3149" t="s">
        <v>3499</v>
      </c>
      <c r="AQ76" s="3149" t="s">
        <v>3499</v>
      </c>
      <c r="AR76" s="3149" t="s">
        <v>3566</v>
      </c>
      <c r="AS76" s="3149" t="s">
        <v>3519</v>
      </c>
      <c r="AT76" s="3149"/>
    </row>
    <row r="77" spans="1:46" ht="33.75">
      <c r="A77" s="3149">
        <v>69</v>
      </c>
      <c r="B77" s="3149" t="s">
        <v>3488</v>
      </c>
      <c r="C77" s="3149" t="s">
        <v>3489</v>
      </c>
      <c r="D77" s="3149" t="s">
        <v>3490</v>
      </c>
      <c r="E77" s="3149" t="s">
        <v>3557</v>
      </c>
      <c r="F77" s="3149" t="s">
        <v>3492</v>
      </c>
      <c r="G77" s="3149" t="s">
        <v>3515</v>
      </c>
      <c r="H77" s="3149" t="s">
        <v>3494</v>
      </c>
      <c r="I77" s="3149" t="s">
        <v>113</v>
      </c>
      <c r="J77" s="3149" t="s">
        <v>3389</v>
      </c>
      <c r="K77" s="3149" t="s">
        <v>3496</v>
      </c>
      <c r="L77" s="3150">
        <v>113.89</v>
      </c>
      <c r="M77" s="3150">
        <v>92.93</v>
      </c>
      <c r="N77" s="3161">
        <v>113.89</v>
      </c>
      <c r="O77" s="3150">
        <v>92.93</v>
      </c>
      <c r="P77" s="3151">
        <v>9999</v>
      </c>
      <c r="Q77" s="3151">
        <v>12254.23</v>
      </c>
      <c r="R77" s="3151">
        <v>1138786</v>
      </c>
      <c r="S77" s="3151">
        <v>12040.1967</v>
      </c>
      <c r="T77" s="3151">
        <v>14755.816199999999</v>
      </c>
      <c r="U77" s="3151">
        <v>1371258</v>
      </c>
      <c r="V77" s="3151">
        <v>9999</v>
      </c>
      <c r="W77" s="3151">
        <v>12254.23</v>
      </c>
      <c r="X77" s="3151">
        <v>1138786</v>
      </c>
      <c r="Y77" s="3152">
        <v>1138786</v>
      </c>
      <c r="Z77" s="3152">
        <v>0</v>
      </c>
      <c r="AA77" s="3153"/>
      <c r="AB77" s="3151">
        <v>1138786</v>
      </c>
      <c r="AC77" s="3154">
        <v>43819</v>
      </c>
      <c r="AD77" s="3154">
        <v>44081.738156053238</v>
      </c>
      <c r="AE77" s="3154">
        <v>43847.467454201389</v>
      </c>
      <c r="AF77" s="3154">
        <v>44102</v>
      </c>
      <c r="AG77" s="3154">
        <v>44102</v>
      </c>
      <c r="AH77" s="3154">
        <v>44137</v>
      </c>
      <c r="AI77" s="3154">
        <v>44144</v>
      </c>
      <c r="AJ77" s="3154">
        <v>44834</v>
      </c>
      <c r="AK77" s="3149"/>
      <c r="AL77" s="3154">
        <v>43814</v>
      </c>
      <c r="AM77" s="3149" t="s">
        <v>3416</v>
      </c>
      <c r="AN77" s="3149" t="s">
        <v>3567</v>
      </c>
      <c r="AO77" s="3149" t="s">
        <v>3548</v>
      </c>
      <c r="AP77" s="3149"/>
      <c r="AQ77" s="3149"/>
      <c r="AR77" s="3149" t="s">
        <v>3505</v>
      </c>
      <c r="AS77" s="3149" t="s">
        <v>3561</v>
      </c>
      <c r="AT77" s="3149" t="s">
        <v>3568</v>
      </c>
    </row>
    <row r="78" spans="1:46" ht="33.75">
      <c r="A78" s="3149">
        <v>70</v>
      </c>
      <c r="B78" s="3149" t="s">
        <v>3488</v>
      </c>
      <c r="C78" s="3149" t="s">
        <v>3489</v>
      </c>
      <c r="D78" s="3149" t="s">
        <v>3490</v>
      </c>
      <c r="E78" s="3149" t="s">
        <v>3557</v>
      </c>
      <c r="F78" s="3149" t="s">
        <v>3492</v>
      </c>
      <c r="G78" s="3149" t="s">
        <v>3521</v>
      </c>
      <c r="H78" s="3149" t="s">
        <v>3509</v>
      </c>
      <c r="I78" s="3149" t="s">
        <v>113</v>
      </c>
      <c r="J78" s="3149" t="s">
        <v>3389</v>
      </c>
      <c r="K78" s="3149" t="s">
        <v>3496</v>
      </c>
      <c r="L78" s="3150">
        <v>113.89</v>
      </c>
      <c r="M78" s="3150">
        <v>92.93</v>
      </c>
      <c r="N78" s="3161">
        <v>113.89</v>
      </c>
      <c r="O78" s="3150">
        <v>92.93</v>
      </c>
      <c r="P78" s="3151">
        <v>5500</v>
      </c>
      <c r="Q78" s="3151">
        <v>6740.5</v>
      </c>
      <c r="R78" s="3151">
        <v>626395</v>
      </c>
      <c r="S78" s="3151">
        <v>5500</v>
      </c>
      <c r="T78" s="3151">
        <v>6740.5036</v>
      </c>
      <c r="U78" s="3151">
        <v>626395</v>
      </c>
      <c r="V78" s="3153"/>
      <c r="W78" s="3153"/>
      <c r="X78" s="3153"/>
      <c r="Y78" s="3153"/>
      <c r="Z78" s="3152">
        <v>0</v>
      </c>
      <c r="AA78" s="3153"/>
      <c r="AB78" s="3151">
        <v>0</v>
      </c>
      <c r="AC78" s="3154">
        <v>43819</v>
      </c>
      <c r="AD78" s="3154">
        <v>45264.773614039354</v>
      </c>
      <c r="AE78" s="3154">
        <v>43847.467454201389</v>
      </c>
      <c r="AF78" s="3149"/>
      <c r="AG78" s="3149"/>
      <c r="AH78" s="3149"/>
      <c r="AI78" s="3149"/>
      <c r="AJ78" s="3149"/>
      <c r="AK78" s="3149"/>
      <c r="AL78" s="3154">
        <v>43814</v>
      </c>
      <c r="AM78" s="3149"/>
      <c r="AN78" s="3149"/>
      <c r="AO78" s="3149"/>
      <c r="AP78" s="3149"/>
      <c r="AQ78" s="3149"/>
      <c r="AR78" s="3149"/>
      <c r="AS78" s="3149"/>
      <c r="AT78" s="3149"/>
    </row>
    <row r="79" spans="1:46" ht="33.75">
      <c r="A79" s="3149">
        <v>71</v>
      </c>
      <c r="B79" s="3149" t="s">
        <v>3488</v>
      </c>
      <c r="C79" s="3149" t="s">
        <v>3489</v>
      </c>
      <c r="D79" s="3149" t="s">
        <v>3490</v>
      </c>
      <c r="E79" s="3149" t="s">
        <v>3557</v>
      </c>
      <c r="F79" s="3149" t="s">
        <v>3492</v>
      </c>
      <c r="G79" s="3149" t="s">
        <v>3522</v>
      </c>
      <c r="H79" s="3149" t="s">
        <v>3494</v>
      </c>
      <c r="I79" s="3149" t="s">
        <v>113</v>
      </c>
      <c r="J79" s="3149" t="s">
        <v>3389</v>
      </c>
      <c r="K79" s="3149" t="s">
        <v>3496</v>
      </c>
      <c r="L79" s="3150">
        <v>113.89</v>
      </c>
      <c r="M79" s="3150">
        <v>92.93</v>
      </c>
      <c r="N79" s="3161">
        <v>113.89</v>
      </c>
      <c r="O79" s="3150">
        <v>92.93</v>
      </c>
      <c r="P79" s="3151">
        <v>10965.85</v>
      </c>
      <c r="Q79" s="3151">
        <v>13439.16</v>
      </c>
      <c r="R79" s="3151">
        <v>1248901</v>
      </c>
      <c r="S79" s="3151">
        <v>12145.412200000001</v>
      </c>
      <c r="T79" s="3151">
        <v>14884.762699999999</v>
      </c>
      <c r="U79" s="3151">
        <v>1383241</v>
      </c>
      <c r="V79" s="3151">
        <v>10965.85</v>
      </c>
      <c r="W79" s="3151">
        <v>13439.16</v>
      </c>
      <c r="X79" s="3151">
        <v>1248901</v>
      </c>
      <c r="Y79" s="3152">
        <v>1248901</v>
      </c>
      <c r="Z79" s="3152">
        <v>0</v>
      </c>
      <c r="AA79" s="3153"/>
      <c r="AB79" s="3151">
        <v>1248901</v>
      </c>
      <c r="AC79" s="3154">
        <v>43819</v>
      </c>
      <c r="AD79" s="3154">
        <v>44050.574095833334</v>
      </c>
      <c r="AE79" s="3154">
        <v>43847.467454201389</v>
      </c>
      <c r="AF79" s="3154">
        <v>44052</v>
      </c>
      <c r="AG79" s="3154">
        <v>44059</v>
      </c>
      <c r="AH79" s="3154">
        <v>44096</v>
      </c>
      <c r="AI79" s="3154">
        <v>44103</v>
      </c>
      <c r="AJ79" s="3154">
        <v>44834</v>
      </c>
      <c r="AK79" s="3149"/>
      <c r="AL79" s="3154">
        <v>43814</v>
      </c>
      <c r="AM79" s="3149" t="s">
        <v>3416</v>
      </c>
      <c r="AN79" s="3149" t="s">
        <v>3569</v>
      </c>
      <c r="AO79" s="3149" t="s">
        <v>3552</v>
      </c>
      <c r="AP79" s="3149"/>
      <c r="AQ79" s="3149"/>
      <c r="AR79" s="3149" t="s">
        <v>3570</v>
      </c>
      <c r="AS79" s="3149" t="s">
        <v>3571</v>
      </c>
      <c r="AT79" s="3149" t="s">
        <v>3572</v>
      </c>
    </row>
    <row r="80" spans="1:46" ht="33.75">
      <c r="A80" s="3149">
        <v>72</v>
      </c>
      <c r="B80" s="3149" t="s">
        <v>3488</v>
      </c>
      <c r="C80" s="3149" t="s">
        <v>3489</v>
      </c>
      <c r="D80" s="3149" t="s">
        <v>3490</v>
      </c>
      <c r="E80" s="3149" t="s">
        <v>3557</v>
      </c>
      <c r="F80" s="3149" t="s">
        <v>3492</v>
      </c>
      <c r="G80" s="3149" t="s">
        <v>3523</v>
      </c>
      <c r="H80" s="3149" t="s">
        <v>3494</v>
      </c>
      <c r="I80" s="3149" t="s">
        <v>113</v>
      </c>
      <c r="J80" s="3149" t="s">
        <v>3389</v>
      </c>
      <c r="K80" s="3149" t="s">
        <v>3496</v>
      </c>
      <c r="L80" s="3150">
        <v>113.89</v>
      </c>
      <c r="M80" s="3150">
        <v>92.93</v>
      </c>
      <c r="N80" s="3161">
        <v>113.89</v>
      </c>
      <c r="O80" s="3150">
        <v>92.93</v>
      </c>
      <c r="P80" s="3151">
        <v>9999</v>
      </c>
      <c r="Q80" s="3151">
        <v>12254.23</v>
      </c>
      <c r="R80" s="3151">
        <v>1138786</v>
      </c>
      <c r="S80" s="3151">
        <v>12040.1967</v>
      </c>
      <c r="T80" s="3151">
        <v>14755.816199999999</v>
      </c>
      <c r="U80" s="3151">
        <v>1371258</v>
      </c>
      <c r="V80" s="3151">
        <v>9999</v>
      </c>
      <c r="W80" s="3151">
        <v>12254.23</v>
      </c>
      <c r="X80" s="3151">
        <v>1138786</v>
      </c>
      <c r="Y80" s="3152">
        <v>1138786</v>
      </c>
      <c r="Z80" s="3152">
        <v>0</v>
      </c>
      <c r="AA80" s="3153"/>
      <c r="AB80" s="3151">
        <v>1138786</v>
      </c>
      <c r="AC80" s="3154">
        <v>43819</v>
      </c>
      <c r="AD80" s="3154">
        <v>44081.738156053238</v>
      </c>
      <c r="AE80" s="3154">
        <v>43847.467454201389</v>
      </c>
      <c r="AF80" s="3154">
        <v>44211</v>
      </c>
      <c r="AG80" s="3154">
        <v>44211</v>
      </c>
      <c r="AH80" s="3154">
        <v>44300</v>
      </c>
      <c r="AI80" s="3154">
        <v>44307</v>
      </c>
      <c r="AJ80" s="3154">
        <v>44834</v>
      </c>
      <c r="AK80" s="3149"/>
      <c r="AL80" s="3154">
        <v>43814</v>
      </c>
      <c r="AM80" s="3149" t="s">
        <v>3416</v>
      </c>
      <c r="AN80" s="3149" t="s">
        <v>3573</v>
      </c>
      <c r="AO80" s="3149" t="s">
        <v>3540</v>
      </c>
      <c r="AP80" s="3149" t="s">
        <v>3499</v>
      </c>
      <c r="AQ80" s="3149" t="s">
        <v>3499</v>
      </c>
      <c r="AR80" s="3149" t="s">
        <v>3519</v>
      </c>
      <c r="AS80" s="3149" t="s">
        <v>3520</v>
      </c>
      <c r="AT80" s="3149"/>
    </row>
    <row r="81" spans="1:46" ht="33.75">
      <c r="A81" s="3149">
        <v>73</v>
      </c>
      <c r="B81" s="3149" t="s">
        <v>3488</v>
      </c>
      <c r="C81" s="3149" t="s">
        <v>3489</v>
      </c>
      <c r="D81" s="3149" t="s">
        <v>3490</v>
      </c>
      <c r="E81" s="3149" t="s">
        <v>3557</v>
      </c>
      <c r="F81" s="3149" t="s">
        <v>3492</v>
      </c>
      <c r="G81" s="3149" t="s">
        <v>3525</v>
      </c>
      <c r="H81" s="3149" t="s">
        <v>3494</v>
      </c>
      <c r="I81" s="3149" t="s">
        <v>113</v>
      </c>
      <c r="J81" s="3149" t="s">
        <v>3389</v>
      </c>
      <c r="K81" s="3149" t="s">
        <v>3496</v>
      </c>
      <c r="L81" s="3150">
        <v>113.89</v>
      </c>
      <c r="M81" s="3150">
        <v>92.93</v>
      </c>
      <c r="N81" s="3161">
        <v>113.89</v>
      </c>
      <c r="O81" s="3150">
        <v>92.93</v>
      </c>
      <c r="P81" s="3151">
        <v>10507.81</v>
      </c>
      <c r="Q81" s="3151">
        <v>12877.8</v>
      </c>
      <c r="R81" s="3151">
        <v>1196734</v>
      </c>
      <c r="S81" s="3151">
        <v>12250.6278</v>
      </c>
      <c r="T81" s="3151">
        <v>15013.709199999999</v>
      </c>
      <c r="U81" s="3151">
        <v>1395224</v>
      </c>
      <c r="V81" s="3151">
        <v>10507.81</v>
      </c>
      <c r="W81" s="3151">
        <v>12877.8</v>
      </c>
      <c r="X81" s="3151">
        <v>1196734</v>
      </c>
      <c r="Y81" s="3152">
        <v>1196734</v>
      </c>
      <c r="Z81" s="3152">
        <v>0</v>
      </c>
      <c r="AA81" s="3153"/>
      <c r="AB81" s="3151">
        <v>1196734</v>
      </c>
      <c r="AC81" s="3154">
        <v>43819</v>
      </c>
      <c r="AD81" s="3154">
        <v>44070.394818946756</v>
      </c>
      <c r="AE81" s="3154">
        <v>43847.467454201389</v>
      </c>
      <c r="AF81" s="3154">
        <v>44070</v>
      </c>
      <c r="AG81" s="3154">
        <v>44070</v>
      </c>
      <c r="AH81" s="3154">
        <v>44074</v>
      </c>
      <c r="AI81" s="3154">
        <v>44095</v>
      </c>
      <c r="AJ81" s="3154">
        <v>44834</v>
      </c>
      <c r="AK81" s="3149"/>
      <c r="AL81" s="3154">
        <v>43814</v>
      </c>
      <c r="AM81" s="3149" t="s">
        <v>3416</v>
      </c>
      <c r="AN81" s="3149" t="s">
        <v>3574</v>
      </c>
      <c r="AO81" s="3149" t="s">
        <v>3504</v>
      </c>
      <c r="AP81" s="3149" t="s">
        <v>3499</v>
      </c>
      <c r="AQ81" s="3149" t="s">
        <v>3499</v>
      </c>
      <c r="AR81" s="3149" t="s">
        <v>3505</v>
      </c>
      <c r="AS81" s="3149" t="s">
        <v>3506</v>
      </c>
      <c r="AT81" s="3149" t="s">
        <v>3507</v>
      </c>
    </row>
    <row r="82" spans="1:46" ht="33.75">
      <c r="A82" s="3149">
        <v>74</v>
      </c>
      <c r="B82" s="3149" t="s">
        <v>3488</v>
      </c>
      <c r="C82" s="3149" t="s">
        <v>3489</v>
      </c>
      <c r="D82" s="3149" t="s">
        <v>3490</v>
      </c>
      <c r="E82" s="3149" t="s">
        <v>3557</v>
      </c>
      <c r="F82" s="3149" t="s">
        <v>3492</v>
      </c>
      <c r="G82" s="3149" t="s">
        <v>3528</v>
      </c>
      <c r="H82" s="3149" t="s">
        <v>3509</v>
      </c>
      <c r="I82" s="3149" t="s">
        <v>113</v>
      </c>
      <c r="J82" s="3149" t="s">
        <v>3389</v>
      </c>
      <c r="K82" s="3149" t="s">
        <v>3496</v>
      </c>
      <c r="L82" s="3150">
        <v>113.89</v>
      </c>
      <c r="M82" s="3150">
        <v>92.93</v>
      </c>
      <c r="N82" s="3161">
        <v>113.89</v>
      </c>
      <c r="O82" s="3150">
        <v>92.93</v>
      </c>
      <c r="P82" s="3151">
        <v>5550</v>
      </c>
      <c r="Q82" s="3151">
        <v>6801.79</v>
      </c>
      <c r="R82" s="3151">
        <v>632090</v>
      </c>
      <c r="S82" s="3151">
        <v>5550.0043999999998</v>
      </c>
      <c r="T82" s="3151">
        <v>6801.7862999999998</v>
      </c>
      <c r="U82" s="3151">
        <v>632090</v>
      </c>
      <c r="V82" s="3153"/>
      <c r="W82" s="3153"/>
      <c r="X82" s="3153"/>
      <c r="Y82" s="3153"/>
      <c r="Z82" s="3152">
        <v>0</v>
      </c>
      <c r="AA82" s="3153"/>
      <c r="AB82" s="3151">
        <v>0</v>
      </c>
      <c r="AC82" s="3154">
        <v>43819</v>
      </c>
      <c r="AD82" s="3154">
        <v>45264.773614039354</v>
      </c>
      <c r="AE82" s="3154">
        <v>43847.467454201389</v>
      </c>
      <c r="AF82" s="3149"/>
      <c r="AG82" s="3149"/>
      <c r="AH82" s="3149"/>
      <c r="AI82" s="3149"/>
      <c r="AJ82" s="3149"/>
      <c r="AK82" s="3149"/>
      <c r="AL82" s="3154">
        <v>43814</v>
      </c>
      <c r="AM82" s="3149"/>
      <c r="AN82" s="3149"/>
      <c r="AO82" s="3149"/>
      <c r="AP82" s="3149"/>
      <c r="AQ82" s="3149"/>
      <c r="AR82" s="3149"/>
      <c r="AS82" s="3149"/>
      <c r="AT82" s="3149"/>
    </row>
    <row r="83" spans="1:46" ht="33.75">
      <c r="A83" s="3149">
        <v>75</v>
      </c>
      <c r="B83" s="3149" t="s">
        <v>3488</v>
      </c>
      <c r="C83" s="3149" t="s">
        <v>3489</v>
      </c>
      <c r="D83" s="3149" t="s">
        <v>3490</v>
      </c>
      <c r="E83" s="3149" t="s">
        <v>3557</v>
      </c>
      <c r="F83" s="3149" t="s">
        <v>3492</v>
      </c>
      <c r="G83" s="3149" t="s">
        <v>3529</v>
      </c>
      <c r="H83" s="3149" t="s">
        <v>3494</v>
      </c>
      <c r="I83" s="3149" t="s">
        <v>113</v>
      </c>
      <c r="J83" s="3149" t="s">
        <v>3389</v>
      </c>
      <c r="K83" s="3149" t="s">
        <v>3496</v>
      </c>
      <c r="L83" s="3150">
        <v>113.89</v>
      </c>
      <c r="M83" s="3150">
        <v>92.93</v>
      </c>
      <c r="N83" s="3161">
        <v>113.89</v>
      </c>
      <c r="O83" s="3150">
        <v>92.93</v>
      </c>
      <c r="P83" s="3151">
        <v>11743</v>
      </c>
      <c r="Q83" s="3151">
        <v>14391.59</v>
      </c>
      <c r="R83" s="3151">
        <v>1337410</v>
      </c>
      <c r="S83" s="3151">
        <v>12355.8521</v>
      </c>
      <c r="T83" s="3151">
        <v>15142.666499999999</v>
      </c>
      <c r="U83" s="3151">
        <v>1407208</v>
      </c>
      <c r="V83" s="3151">
        <v>11743</v>
      </c>
      <c r="W83" s="3151">
        <v>14391.59</v>
      </c>
      <c r="X83" s="3151">
        <v>1337410</v>
      </c>
      <c r="Y83" s="3152">
        <v>1337410</v>
      </c>
      <c r="Z83" s="3152">
        <v>0</v>
      </c>
      <c r="AA83" s="3153"/>
      <c r="AB83" s="3151">
        <v>1337410</v>
      </c>
      <c r="AC83" s="3154">
        <v>43819</v>
      </c>
      <c r="AD83" s="3154">
        <v>43847.46574915509</v>
      </c>
      <c r="AE83" s="3154">
        <v>43847.467454201389</v>
      </c>
      <c r="AF83" s="3154">
        <v>43851</v>
      </c>
      <c r="AG83" s="3154">
        <v>43887</v>
      </c>
      <c r="AH83" s="3154">
        <v>43937</v>
      </c>
      <c r="AI83" s="3154">
        <v>43944</v>
      </c>
      <c r="AJ83" s="3154">
        <v>44834</v>
      </c>
      <c r="AK83" s="3149"/>
      <c r="AL83" s="3154">
        <v>43814</v>
      </c>
      <c r="AM83" s="3149" t="s">
        <v>3416</v>
      </c>
      <c r="AN83" s="3149" t="s">
        <v>3575</v>
      </c>
      <c r="AO83" s="3149" t="s">
        <v>3576</v>
      </c>
      <c r="AP83" s="3149" t="s">
        <v>3577</v>
      </c>
      <c r="AQ83" s="3149"/>
      <c r="AR83" s="3149"/>
      <c r="AS83" s="3149"/>
      <c r="AT83" s="3149"/>
    </row>
    <row r="84" spans="1:46" ht="33.75">
      <c r="A84" s="3149">
        <v>76</v>
      </c>
      <c r="B84" s="3149" t="s">
        <v>3488</v>
      </c>
      <c r="C84" s="3149" t="s">
        <v>3489</v>
      </c>
      <c r="D84" s="3149" t="s">
        <v>3490</v>
      </c>
      <c r="E84" s="3149" t="s">
        <v>3557</v>
      </c>
      <c r="F84" s="3149" t="s">
        <v>3492</v>
      </c>
      <c r="G84" s="3149" t="s">
        <v>3530</v>
      </c>
      <c r="H84" s="3149" t="s">
        <v>3494</v>
      </c>
      <c r="I84" s="3149" t="s">
        <v>113</v>
      </c>
      <c r="J84" s="3149" t="s">
        <v>3389</v>
      </c>
      <c r="K84" s="3149" t="s">
        <v>3496</v>
      </c>
      <c r="L84" s="3150">
        <v>113.89</v>
      </c>
      <c r="M84" s="3150">
        <v>92.93</v>
      </c>
      <c r="N84" s="3161">
        <v>113.89</v>
      </c>
      <c r="O84" s="3150">
        <v>92.93</v>
      </c>
      <c r="P84" s="3151">
        <v>11060.86</v>
      </c>
      <c r="Q84" s="3151">
        <v>13555.59</v>
      </c>
      <c r="R84" s="3151">
        <v>1259721</v>
      </c>
      <c r="S84" s="3151">
        <v>12250.6366</v>
      </c>
      <c r="T84" s="3151">
        <v>15013.72</v>
      </c>
      <c r="U84" s="3151">
        <v>1395225</v>
      </c>
      <c r="V84" s="3151">
        <v>11060.86</v>
      </c>
      <c r="W84" s="3151">
        <v>13555.59</v>
      </c>
      <c r="X84" s="3151">
        <v>1259721</v>
      </c>
      <c r="Y84" s="3152">
        <v>1259721</v>
      </c>
      <c r="Z84" s="3152">
        <v>0</v>
      </c>
      <c r="AA84" s="3153"/>
      <c r="AB84" s="3151">
        <v>1259721</v>
      </c>
      <c r="AC84" s="3154">
        <v>43819</v>
      </c>
      <c r="AD84" s="3154">
        <v>43915.685597453703</v>
      </c>
      <c r="AE84" s="3154">
        <v>43847.467454201389</v>
      </c>
      <c r="AF84" s="3154">
        <v>43916</v>
      </c>
      <c r="AG84" s="3154">
        <v>43962</v>
      </c>
      <c r="AH84" s="3154">
        <v>43984</v>
      </c>
      <c r="AI84" s="3154">
        <v>43992</v>
      </c>
      <c r="AJ84" s="3154">
        <v>44834</v>
      </c>
      <c r="AK84" s="3149"/>
      <c r="AL84" s="3154">
        <v>43814</v>
      </c>
      <c r="AM84" s="3149" t="s">
        <v>3416</v>
      </c>
      <c r="AN84" s="3149" t="s">
        <v>3578</v>
      </c>
      <c r="AO84" s="3149" t="s">
        <v>3556</v>
      </c>
      <c r="AP84" s="3149" t="s">
        <v>3499</v>
      </c>
      <c r="AQ84" s="3149" t="s">
        <v>3499</v>
      </c>
      <c r="AR84" s="3149" t="s">
        <v>3505</v>
      </c>
      <c r="AS84" s="3149" t="s">
        <v>3561</v>
      </c>
      <c r="AT84" s="3149" t="s">
        <v>3519</v>
      </c>
    </row>
    <row r="85" spans="1:46" ht="33.75">
      <c r="A85" s="3149">
        <v>77</v>
      </c>
      <c r="B85" s="3149" t="s">
        <v>3488</v>
      </c>
      <c r="C85" s="3149" t="s">
        <v>3489</v>
      </c>
      <c r="D85" s="3149" t="s">
        <v>3490</v>
      </c>
      <c r="E85" s="3149" t="s">
        <v>3557</v>
      </c>
      <c r="F85" s="3149" t="s">
        <v>3492</v>
      </c>
      <c r="G85" s="3149" t="s">
        <v>3532</v>
      </c>
      <c r="H85" s="3149" t="s">
        <v>3509</v>
      </c>
      <c r="I85" s="3149" t="s">
        <v>113</v>
      </c>
      <c r="J85" s="3149" t="s">
        <v>3389</v>
      </c>
      <c r="K85" s="3149" t="s">
        <v>3496</v>
      </c>
      <c r="L85" s="3150">
        <v>113.89</v>
      </c>
      <c r="M85" s="3150">
        <v>92.93</v>
      </c>
      <c r="N85" s="3161">
        <v>113.89</v>
      </c>
      <c r="O85" s="3150">
        <v>92.93</v>
      </c>
      <c r="P85" s="3151">
        <v>5600</v>
      </c>
      <c r="Q85" s="3151">
        <v>6863.06</v>
      </c>
      <c r="R85" s="3151">
        <v>637784</v>
      </c>
      <c r="S85" s="3151">
        <v>5600</v>
      </c>
      <c r="T85" s="3151">
        <v>6863.0582000000004</v>
      </c>
      <c r="U85" s="3151">
        <v>637784</v>
      </c>
      <c r="V85" s="3153"/>
      <c r="W85" s="3153"/>
      <c r="X85" s="3153"/>
      <c r="Y85" s="3153"/>
      <c r="Z85" s="3152">
        <v>0</v>
      </c>
      <c r="AA85" s="3153"/>
      <c r="AB85" s="3151">
        <v>0</v>
      </c>
      <c r="AC85" s="3154">
        <v>43819</v>
      </c>
      <c r="AD85" s="3154">
        <v>45264.773614039354</v>
      </c>
      <c r="AE85" s="3154">
        <v>43847.467454201389</v>
      </c>
      <c r="AF85" s="3149"/>
      <c r="AG85" s="3149"/>
      <c r="AH85" s="3149"/>
      <c r="AI85" s="3149"/>
      <c r="AJ85" s="3149"/>
      <c r="AK85" s="3149"/>
      <c r="AL85" s="3154">
        <v>43814</v>
      </c>
      <c r="AM85" s="3149"/>
      <c r="AN85" s="3149"/>
      <c r="AO85" s="3149"/>
      <c r="AP85" s="3149"/>
      <c r="AQ85" s="3149"/>
      <c r="AR85" s="3149"/>
      <c r="AS85" s="3149"/>
      <c r="AT85" s="3149"/>
    </row>
    <row r="86" spans="1:46" ht="33.75">
      <c r="A86" s="3149">
        <v>78</v>
      </c>
      <c r="B86" s="3149" t="s">
        <v>3488</v>
      </c>
      <c r="C86" s="3149" t="s">
        <v>3489</v>
      </c>
      <c r="D86" s="3149" t="s">
        <v>3490</v>
      </c>
      <c r="E86" s="3149" t="s">
        <v>3557</v>
      </c>
      <c r="F86" s="3149" t="s">
        <v>3492</v>
      </c>
      <c r="G86" s="3149" t="s">
        <v>3534</v>
      </c>
      <c r="H86" s="3149" t="s">
        <v>3494</v>
      </c>
      <c r="I86" s="3149" t="s">
        <v>113</v>
      </c>
      <c r="J86" s="3149" t="s">
        <v>3389</v>
      </c>
      <c r="K86" s="3149" t="s">
        <v>3496</v>
      </c>
      <c r="L86" s="3150">
        <v>113.89</v>
      </c>
      <c r="M86" s="3150">
        <v>92.93</v>
      </c>
      <c r="N86" s="3161">
        <v>113.89</v>
      </c>
      <c r="O86" s="3150">
        <v>92.93</v>
      </c>
      <c r="P86" s="3151">
        <v>11743</v>
      </c>
      <c r="Q86" s="3151">
        <v>14391.59</v>
      </c>
      <c r="R86" s="3151">
        <v>1337410</v>
      </c>
      <c r="S86" s="3151">
        <v>12355.8521</v>
      </c>
      <c r="T86" s="3151">
        <v>15142.666499999999</v>
      </c>
      <c r="U86" s="3151">
        <v>1407208</v>
      </c>
      <c r="V86" s="3151">
        <v>11155.85</v>
      </c>
      <c r="W86" s="3151">
        <v>13672.01</v>
      </c>
      <c r="X86" s="3151">
        <v>1270540</v>
      </c>
      <c r="Y86" s="3152">
        <v>1270540</v>
      </c>
      <c r="Z86" s="3152">
        <v>0</v>
      </c>
      <c r="AA86" s="3153"/>
      <c r="AB86" s="3151">
        <v>1270540</v>
      </c>
      <c r="AC86" s="3154">
        <v>43819</v>
      </c>
      <c r="AD86" s="3154">
        <v>43847.46574915509</v>
      </c>
      <c r="AE86" s="3154">
        <v>43847.467454201389</v>
      </c>
      <c r="AF86" s="3154">
        <v>43882</v>
      </c>
      <c r="AG86" s="3154">
        <v>43887</v>
      </c>
      <c r="AH86" s="3149"/>
      <c r="AI86" s="3149"/>
      <c r="AJ86" s="3154">
        <v>44834</v>
      </c>
      <c r="AK86" s="3149"/>
      <c r="AL86" s="3154">
        <v>43814</v>
      </c>
      <c r="AM86" s="3149" t="s">
        <v>3416</v>
      </c>
      <c r="AN86" s="3149" t="s">
        <v>3579</v>
      </c>
      <c r="AO86" s="3149" t="s">
        <v>3504</v>
      </c>
      <c r="AP86" s="3149" t="s">
        <v>3499</v>
      </c>
      <c r="AQ86" s="3149" t="s">
        <v>3499</v>
      </c>
      <c r="AR86" s="3149"/>
      <c r="AS86" s="3149"/>
      <c r="AT86" s="3149"/>
    </row>
    <row r="87" spans="1:46" ht="33.75">
      <c r="A87" s="3149">
        <v>79</v>
      </c>
      <c r="B87" s="3149" t="s">
        <v>3488</v>
      </c>
      <c r="C87" s="3149" t="s">
        <v>3489</v>
      </c>
      <c r="D87" s="3149" t="s">
        <v>3490</v>
      </c>
      <c r="E87" s="3149" t="s">
        <v>3557</v>
      </c>
      <c r="F87" s="3149" t="s">
        <v>3492</v>
      </c>
      <c r="G87" s="3149" t="s">
        <v>3536</v>
      </c>
      <c r="H87" s="3149" t="s">
        <v>3494</v>
      </c>
      <c r="I87" s="3149" t="s">
        <v>113</v>
      </c>
      <c r="J87" s="3149" t="s">
        <v>3389</v>
      </c>
      <c r="K87" s="3149" t="s">
        <v>3496</v>
      </c>
      <c r="L87" s="3150">
        <v>155.09</v>
      </c>
      <c r="M87" s="3150">
        <v>126.55</v>
      </c>
      <c r="N87" s="3161">
        <v>155.09</v>
      </c>
      <c r="O87" s="3150">
        <v>126.55</v>
      </c>
      <c r="P87" s="3151">
        <v>8550</v>
      </c>
      <c r="Q87" s="3151">
        <v>10478.23</v>
      </c>
      <c r="R87" s="3151">
        <v>1326020</v>
      </c>
      <c r="S87" s="3151">
        <v>9968.1088</v>
      </c>
      <c r="T87" s="3151">
        <v>12216.1517</v>
      </c>
      <c r="U87" s="3151">
        <v>1545954</v>
      </c>
      <c r="V87" s="3151">
        <v>8550</v>
      </c>
      <c r="W87" s="3151">
        <v>10478.23</v>
      </c>
      <c r="X87" s="3151">
        <v>1326020</v>
      </c>
      <c r="Y87" s="3152">
        <v>1326020</v>
      </c>
      <c r="Z87" s="3152">
        <v>0</v>
      </c>
      <c r="AA87" s="3153"/>
      <c r="AB87" s="3151">
        <v>1326020</v>
      </c>
      <c r="AC87" s="3154">
        <v>43819</v>
      </c>
      <c r="AD87" s="3154">
        <v>44372.487411145834</v>
      </c>
      <c r="AE87" s="3154">
        <v>43847.467454201389</v>
      </c>
      <c r="AF87" s="3154">
        <v>44391</v>
      </c>
      <c r="AG87" s="3154">
        <v>44391</v>
      </c>
      <c r="AH87" s="3149"/>
      <c r="AI87" s="3149"/>
      <c r="AJ87" s="3154">
        <v>45199</v>
      </c>
      <c r="AK87" s="3149"/>
      <c r="AL87" s="3154">
        <v>43814</v>
      </c>
      <c r="AM87" s="3149" t="s">
        <v>3516</v>
      </c>
      <c r="AN87" s="3149" t="s">
        <v>3580</v>
      </c>
      <c r="AO87" s="3149" t="s">
        <v>3581</v>
      </c>
      <c r="AP87" s="3149" t="s">
        <v>3499</v>
      </c>
      <c r="AQ87" s="3149" t="s">
        <v>3499</v>
      </c>
      <c r="AR87" s="3149" t="s">
        <v>3519</v>
      </c>
      <c r="AS87" s="3149" t="s">
        <v>3520</v>
      </c>
      <c r="AT87" s="3149"/>
    </row>
    <row r="88" spans="1:46" ht="33.75">
      <c r="A88" s="3149">
        <v>80</v>
      </c>
      <c r="B88" s="3149" t="s">
        <v>3488</v>
      </c>
      <c r="C88" s="3149" t="s">
        <v>3489</v>
      </c>
      <c r="D88" s="3149" t="s">
        <v>3490</v>
      </c>
      <c r="E88" s="3149" t="s">
        <v>3557</v>
      </c>
      <c r="F88" s="3149" t="s">
        <v>3492</v>
      </c>
      <c r="G88" s="3149" t="s">
        <v>3537</v>
      </c>
      <c r="H88" s="3149" t="s">
        <v>3494</v>
      </c>
      <c r="I88" s="3149" t="s">
        <v>113</v>
      </c>
      <c r="J88" s="3149" t="s">
        <v>3389</v>
      </c>
      <c r="K88" s="3149" t="s">
        <v>3496</v>
      </c>
      <c r="L88" s="3150">
        <v>151.22999999999999</v>
      </c>
      <c r="M88" s="3150">
        <v>123.4</v>
      </c>
      <c r="N88" s="3161">
        <v>151.22999999999999</v>
      </c>
      <c r="O88" s="3150">
        <v>123.4</v>
      </c>
      <c r="P88" s="3151">
        <v>8550</v>
      </c>
      <c r="Q88" s="3151">
        <v>10478.26</v>
      </c>
      <c r="R88" s="3151">
        <v>1293017</v>
      </c>
      <c r="S88" s="3151">
        <v>9968.1082000000006</v>
      </c>
      <c r="T88" s="3151">
        <v>12216.1831</v>
      </c>
      <c r="U88" s="3151">
        <v>1507477</v>
      </c>
      <c r="V88" s="3151">
        <v>8550</v>
      </c>
      <c r="W88" s="3151">
        <v>10478.26</v>
      </c>
      <c r="X88" s="3151">
        <v>1293017</v>
      </c>
      <c r="Y88" s="3152">
        <v>1293017</v>
      </c>
      <c r="Z88" s="3152">
        <v>0</v>
      </c>
      <c r="AA88" s="3153"/>
      <c r="AB88" s="3151">
        <v>1293017</v>
      </c>
      <c r="AC88" s="3154">
        <v>43819</v>
      </c>
      <c r="AD88" s="3154">
        <v>44372.487411145834</v>
      </c>
      <c r="AE88" s="3154">
        <v>43847.467454201389</v>
      </c>
      <c r="AF88" s="3154">
        <v>44517</v>
      </c>
      <c r="AG88" s="3154">
        <v>44559</v>
      </c>
      <c r="AH88" s="3149"/>
      <c r="AI88" s="3149"/>
      <c r="AJ88" s="3154">
        <v>45199</v>
      </c>
      <c r="AK88" s="3149"/>
      <c r="AL88" s="3154">
        <v>43814</v>
      </c>
      <c r="AM88" s="3149" t="s">
        <v>3516</v>
      </c>
      <c r="AN88" s="3149" t="s">
        <v>3582</v>
      </c>
      <c r="AO88" s="3149" t="s">
        <v>3504</v>
      </c>
      <c r="AP88" s="3149" t="s">
        <v>3499</v>
      </c>
      <c r="AQ88" s="3149" t="s">
        <v>3499</v>
      </c>
      <c r="AR88" s="3149" t="s">
        <v>3519</v>
      </c>
      <c r="AS88" s="3149" t="s">
        <v>3520</v>
      </c>
      <c r="AT88" s="3149"/>
    </row>
    <row r="89" spans="1:46" ht="33.75">
      <c r="A89" s="3149">
        <v>81</v>
      </c>
      <c r="B89" s="3149" t="s">
        <v>3488</v>
      </c>
      <c r="C89" s="3149" t="s">
        <v>3489</v>
      </c>
      <c r="D89" s="3149" t="s">
        <v>3490</v>
      </c>
      <c r="E89" s="3149" t="s">
        <v>3557</v>
      </c>
      <c r="F89" s="3149" t="s">
        <v>3538</v>
      </c>
      <c r="G89" s="3149" t="s">
        <v>3493</v>
      </c>
      <c r="H89" s="3149" t="s">
        <v>3494</v>
      </c>
      <c r="I89" s="3149" t="s">
        <v>113</v>
      </c>
      <c r="J89" s="3149" t="s">
        <v>3389</v>
      </c>
      <c r="K89" s="3149" t="s">
        <v>3496</v>
      </c>
      <c r="L89" s="3150">
        <v>113.89</v>
      </c>
      <c r="M89" s="3150">
        <v>92.93</v>
      </c>
      <c r="N89" s="3161">
        <v>113.89</v>
      </c>
      <c r="O89" s="3150">
        <v>92.93</v>
      </c>
      <c r="P89" s="3151">
        <v>13900</v>
      </c>
      <c r="Q89" s="3151">
        <v>17035.09</v>
      </c>
      <c r="R89" s="3151">
        <v>1583071</v>
      </c>
      <c r="S89" s="3151">
        <v>13900</v>
      </c>
      <c r="T89" s="3151">
        <v>17035.090899999999</v>
      </c>
      <c r="U89" s="3151">
        <v>1583071</v>
      </c>
      <c r="V89" s="3151">
        <v>13812.2</v>
      </c>
      <c r="W89" s="3151">
        <v>16927.48</v>
      </c>
      <c r="X89" s="3151">
        <v>1573071</v>
      </c>
      <c r="Y89" s="3152">
        <v>1573071</v>
      </c>
      <c r="Z89" s="3152">
        <v>0</v>
      </c>
      <c r="AA89" s="3153"/>
      <c r="AB89" s="3151">
        <v>1573071</v>
      </c>
      <c r="AC89" s="3154">
        <v>43819</v>
      </c>
      <c r="AD89" s="3154">
        <v>43847.46574915509</v>
      </c>
      <c r="AE89" s="3154">
        <v>43847.467454201389</v>
      </c>
      <c r="AF89" s="3154">
        <v>43883</v>
      </c>
      <c r="AG89" s="3154">
        <v>43886</v>
      </c>
      <c r="AH89" s="3154">
        <v>43983</v>
      </c>
      <c r="AI89" s="3154">
        <v>43991</v>
      </c>
      <c r="AJ89" s="3154">
        <v>44834</v>
      </c>
      <c r="AK89" s="3149"/>
      <c r="AL89" s="3154">
        <v>43814</v>
      </c>
      <c r="AM89" s="3149" t="s">
        <v>3416</v>
      </c>
      <c r="AN89" s="3149" t="s">
        <v>3583</v>
      </c>
      <c r="AO89" s="3149" t="s">
        <v>3527</v>
      </c>
      <c r="AP89" s="3149" t="s">
        <v>3499</v>
      </c>
      <c r="AQ89" s="3149" t="s">
        <v>3499</v>
      </c>
      <c r="AR89" s="3149"/>
      <c r="AS89" s="3149"/>
      <c r="AT89" s="3149"/>
    </row>
    <row r="90" spans="1:46" ht="33.75">
      <c r="A90" s="3149">
        <v>82</v>
      </c>
      <c r="B90" s="3149" t="s">
        <v>3488</v>
      </c>
      <c r="C90" s="3149" t="s">
        <v>3489</v>
      </c>
      <c r="D90" s="3149" t="s">
        <v>3490</v>
      </c>
      <c r="E90" s="3149" t="s">
        <v>3557</v>
      </c>
      <c r="F90" s="3149" t="s">
        <v>3538</v>
      </c>
      <c r="G90" s="3149" t="s">
        <v>3502</v>
      </c>
      <c r="H90" s="3149" t="s">
        <v>3494</v>
      </c>
      <c r="I90" s="3149" t="s">
        <v>113</v>
      </c>
      <c r="J90" s="3149" t="s">
        <v>3389</v>
      </c>
      <c r="K90" s="3149" t="s">
        <v>3496</v>
      </c>
      <c r="L90" s="3150">
        <v>113.89</v>
      </c>
      <c r="M90" s="3150">
        <v>92.93</v>
      </c>
      <c r="N90" s="3161">
        <v>113.89</v>
      </c>
      <c r="O90" s="3150">
        <v>92.93</v>
      </c>
      <c r="P90" s="3151">
        <v>14500</v>
      </c>
      <c r="Q90" s="3151">
        <v>17770.419999999998</v>
      </c>
      <c r="R90" s="3151">
        <v>1651405</v>
      </c>
      <c r="S90" s="3151">
        <v>14500</v>
      </c>
      <c r="T90" s="3151">
        <v>17770.418600000001</v>
      </c>
      <c r="U90" s="3151">
        <v>1651405</v>
      </c>
      <c r="V90" s="3151">
        <v>14500</v>
      </c>
      <c r="W90" s="3151">
        <v>17770.419999999998</v>
      </c>
      <c r="X90" s="3151">
        <v>1651405</v>
      </c>
      <c r="Y90" s="3152">
        <v>1651405</v>
      </c>
      <c r="Z90" s="3152">
        <v>0</v>
      </c>
      <c r="AA90" s="3153"/>
      <c r="AB90" s="3151">
        <v>1651405</v>
      </c>
      <c r="AC90" s="3154">
        <v>43819</v>
      </c>
      <c r="AD90" s="3154">
        <v>44145.604370486108</v>
      </c>
      <c r="AE90" s="3154">
        <v>43847.467454201389</v>
      </c>
      <c r="AF90" s="3154">
        <v>44146</v>
      </c>
      <c r="AG90" s="3154">
        <v>44148</v>
      </c>
      <c r="AH90" s="3154">
        <v>44201</v>
      </c>
      <c r="AI90" s="3154">
        <v>44207</v>
      </c>
      <c r="AJ90" s="3154">
        <v>44834</v>
      </c>
      <c r="AK90" s="3149"/>
      <c r="AL90" s="3154">
        <v>43814</v>
      </c>
      <c r="AM90" s="3149" t="s">
        <v>3416</v>
      </c>
      <c r="AN90" s="3149" t="s">
        <v>3584</v>
      </c>
      <c r="AO90" s="3149" t="s">
        <v>3556</v>
      </c>
      <c r="AP90" s="3149" t="s">
        <v>3499</v>
      </c>
      <c r="AQ90" s="3149" t="s">
        <v>3499</v>
      </c>
      <c r="AR90" s="3149" t="s">
        <v>3500</v>
      </c>
      <c r="AS90" s="3149" t="s">
        <v>3501</v>
      </c>
      <c r="AT90" s="3149"/>
    </row>
    <row r="91" spans="1:46" ht="33.75">
      <c r="A91" s="3149">
        <v>83</v>
      </c>
      <c r="B91" s="3149" t="s">
        <v>3488</v>
      </c>
      <c r="C91" s="3149" t="s">
        <v>3489</v>
      </c>
      <c r="D91" s="3149" t="s">
        <v>3490</v>
      </c>
      <c r="E91" s="3149" t="s">
        <v>3557</v>
      </c>
      <c r="F91" s="3149" t="s">
        <v>3538</v>
      </c>
      <c r="G91" s="3149" t="s">
        <v>3508</v>
      </c>
      <c r="H91" s="3149" t="s">
        <v>3494</v>
      </c>
      <c r="I91" s="3149" t="s">
        <v>113</v>
      </c>
      <c r="J91" s="3149" t="s">
        <v>3389</v>
      </c>
      <c r="K91" s="3149" t="s">
        <v>3496</v>
      </c>
      <c r="L91" s="3150">
        <v>113.89</v>
      </c>
      <c r="M91" s="3150">
        <v>92.93</v>
      </c>
      <c r="N91" s="3161">
        <v>113.89</v>
      </c>
      <c r="O91" s="3150">
        <v>92.93</v>
      </c>
      <c r="P91" s="3151">
        <v>9499.0499999999993</v>
      </c>
      <c r="Q91" s="3151">
        <v>11641.53</v>
      </c>
      <c r="R91" s="3151">
        <v>1081847</v>
      </c>
      <c r="S91" s="3151">
        <v>11074.572</v>
      </c>
      <c r="T91" s="3151">
        <v>13572.3986</v>
      </c>
      <c r="U91" s="3151">
        <v>1261283</v>
      </c>
      <c r="V91" s="3151">
        <v>9499.06</v>
      </c>
      <c r="W91" s="3151">
        <v>11641.54</v>
      </c>
      <c r="X91" s="3151">
        <v>1081848</v>
      </c>
      <c r="Y91" s="3152">
        <v>1081848</v>
      </c>
      <c r="Z91" s="3152">
        <v>0</v>
      </c>
      <c r="AA91" s="3153"/>
      <c r="AB91" s="3151">
        <v>1081848</v>
      </c>
      <c r="AC91" s="3154">
        <v>43819</v>
      </c>
      <c r="AD91" s="3154">
        <v>44372.487411145834</v>
      </c>
      <c r="AE91" s="3154">
        <v>43847.467454201389</v>
      </c>
      <c r="AF91" s="3154">
        <v>44439</v>
      </c>
      <c r="AG91" s="3154">
        <v>44439</v>
      </c>
      <c r="AH91" s="3149"/>
      <c r="AI91" s="3149"/>
      <c r="AJ91" s="3154">
        <v>45199</v>
      </c>
      <c r="AK91" s="3149"/>
      <c r="AL91" s="3154">
        <v>43814</v>
      </c>
      <c r="AM91" s="3149" t="s">
        <v>3516</v>
      </c>
      <c r="AN91" s="3149" t="s">
        <v>3585</v>
      </c>
      <c r="AO91" s="3149" t="s">
        <v>3540</v>
      </c>
      <c r="AP91" s="3149" t="s">
        <v>3499</v>
      </c>
      <c r="AQ91" s="3149" t="s">
        <v>3499</v>
      </c>
      <c r="AR91" s="3149" t="s">
        <v>3519</v>
      </c>
      <c r="AS91" s="3149" t="s">
        <v>3520</v>
      </c>
      <c r="AT91" s="3149"/>
    </row>
    <row r="92" spans="1:46" ht="33.75">
      <c r="A92" s="3149">
        <v>84</v>
      </c>
      <c r="B92" s="3149" t="s">
        <v>3488</v>
      </c>
      <c r="C92" s="3149" t="s">
        <v>3489</v>
      </c>
      <c r="D92" s="3149" t="s">
        <v>3490</v>
      </c>
      <c r="E92" s="3149" t="s">
        <v>3557</v>
      </c>
      <c r="F92" s="3149" t="s">
        <v>3538</v>
      </c>
      <c r="G92" s="3149" t="s">
        <v>3510</v>
      </c>
      <c r="H92" s="3149" t="s">
        <v>3494</v>
      </c>
      <c r="I92" s="3149" t="s">
        <v>113</v>
      </c>
      <c r="J92" s="3149" t="s">
        <v>3389</v>
      </c>
      <c r="K92" s="3149" t="s">
        <v>3496</v>
      </c>
      <c r="L92" s="3150">
        <v>113.89</v>
      </c>
      <c r="M92" s="3150">
        <v>92.93</v>
      </c>
      <c r="N92" s="3161">
        <v>113.89</v>
      </c>
      <c r="O92" s="3150">
        <v>92.93</v>
      </c>
      <c r="P92" s="3151">
        <v>10056.56</v>
      </c>
      <c r="Q92" s="3151">
        <v>12324.78</v>
      </c>
      <c r="R92" s="3151">
        <v>1145342</v>
      </c>
      <c r="S92" s="3151">
        <v>11724.5412</v>
      </c>
      <c r="T92" s="3151">
        <v>14368.965899999999</v>
      </c>
      <c r="U92" s="3151">
        <v>1335308</v>
      </c>
      <c r="V92" s="3151">
        <v>10056.56</v>
      </c>
      <c r="W92" s="3151">
        <v>12324.78</v>
      </c>
      <c r="X92" s="3151">
        <v>1145342</v>
      </c>
      <c r="Y92" s="3152">
        <v>1145342</v>
      </c>
      <c r="Z92" s="3152">
        <v>0</v>
      </c>
      <c r="AA92" s="3153"/>
      <c r="AB92" s="3151">
        <v>1145342</v>
      </c>
      <c r="AC92" s="3154">
        <v>43819</v>
      </c>
      <c r="AD92" s="3154">
        <v>44096.391653969906</v>
      </c>
      <c r="AE92" s="3154">
        <v>43847.467454201389</v>
      </c>
      <c r="AF92" s="3154">
        <v>44099</v>
      </c>
      <c r="AG92" s="3154">
        <v>44119</v>
      </c>
      <c r="AH92" s="3154">
        <v>44265</v>
      </c>
      <c r="AI92" s="3154">
        <v>44293</v>
      </c>
      <c r="AJ92" s="3154">
        <v>44834</v>
      </c>
      <c r="AK92" s="3149"/>
      <c r="AL92" s="3154">
        <v>43814</v>
      </c>
      <c r="AM92" s="3149" t="s">
        <v>3416</v>
      </c>
      <c r="AN92" s="3149" t="s">
        <v>3586</v>
      </c>
      <c r="AO92" s="3149" t="s">
        <v>3548</v>
      </c>
      <c r="AP92" s="3149"/>
      <c r="AQ92" s="3149"/>
      <c r="AR92" s="3149" t="s">
        <v>3505</v>
      </c>
      <c r="AS92" s="3149" t="s">
        <v>3561</v>
      </c>
      <c r="AT92" s="3149" t="s">
        <v>3519</v>
      </c>
    </row>
    <row r="93" spans="1:46" ht="33.75">
      <c r="A93" s="3149">
        <v>85</v>
      </c>
      <c r="B93" s="3149" t="s">
        <v>3488</v>
      </c>
      <c r="C93" s="3149" t="s">
        <v>3489</v>
      </c>
      <c r="D93" s="3149" t="s">
        <v>3490</v>
      </c>
      <c r="E93" s="3149" t="s">
        <v>3557</v>
      </c>
      <c r="F93" s="3149" t="s">
        <v>3538</v>
      </c>
      <c r="G93" s="3149" t="s">
        <v>3511</v>
      </c>
      <c r="H93" s="3149" t="s">
        <v>3494</v>
      </c>
      <c r="I93" s="3149" t="s">
        <v>113</v>
      </c>
      <c r="J93" s="3149" t="s">
        <v>3389</v>
      </c>
      <c r="K93" s="3149" t="s">
        <v>3496</v>
      </c>
      <c r="L93" s="3150">
        <v>113.89</v>
      </c>
      <c r="M93" s="3150">
        <v>92.93</v>
      </c>
      <c r="N93" s="3161">
        <v>113.89</v>
      </c>
      <c r="O93" s="3150">
        <v>92.93</v>
      </c>
      <c r="P93" s="3151">
        <v>11193</v>
      </c>
      <c r="Q93" s="3151">
        <v>13717.54</v>
      </c>
      <c r="R93" s="3151">
        <v>1274771</v>
      </c>
      <c r="S93" s="3151">
        <v>11777.153399999999</v>
      </c>
      <c r="T93" s="3151">
        <v>14433.4445</v>
      </c>
      <c r="U93" s="3151">
        <v>1341300</v>
      </c>
      <c r="V93" s="3151">
        <v>10633.36</v>
      </c>
      <c r="W93" s="3151">
        <v>13031.67</v>
      </c>
      <c r="X93" s="3151">
        <v>1211033</v>
      </c>
      <c r="Y93" s="3152">
        <v>1211033</v>
      </c>
      <c r="Z93" s="3152">
        <v>0</v>
      </c>
      <c r="AA93" s="3153"/>
      <c r="AB93" s="3151">
        <v>1211033</v>
      </c>
      <c r="AC93" s="3154">
        <v>43819</v>
      </c>
      <c r="AD93" s="3154">
        <v>43847.46574915509</v>
      </c>
      <c r="AE93" s="3154">
        <v>43847.467454201389</v>
      </c>
      <c r="AF93" s="3154">
        <v>43851</v>
      </c>
      <c r="AG93" s="3154">
        <v>43902</v>
      </c>
      <c r="AH93" s="3154">
        <v>43937</v>
      </c>
      <c r="AI93" s="3154">
        <v>43956</v>
      </c>
      <c r="AJ93" s="3154">
        <v>44834</v>
      </c>
      <c r="AK93" s="3149"/>
      <c r="AL93" s="3154">
        <v>43814</v>
      </c>
      <c r="AM93" s="3149" t="s">
        <v>3416</v>
      </c>
      <c r="AN93" s="3149" t="s">
        <v>3587</v>
      </c>
      <c r="AO93" s="3149" t="s">
        <v>3556</v>
      </c>
      <c r="AP93" s="3149" t="s">
        <v>3499</v>
      </c>
      <c r="AQ93" s="3149" t="s">
        <v>3499</v>
      </c>
      <c r="AR93" s="3149"/>
      <c r="AS93" s="3149"/>
      <c r="AT93" s="3149"/>
    </row>
    <row r="94" spans="1:46" ht="33.75">
      <c r="A94" s="3149">
        <v>86</v>
      </c>
      <c r="B94" s="3149" t="s">
        <v>3488</v>
      </c>
      <c r="C94" s="3149" t="s">
        <v>3489</v>
      </c>
      <c r="D94" s="3149" t="s">
        <v>3490</v>
      </c>
      <c r="E94" s="3149" t="s">
        <v>3557</v>
      </c>
      <c r="F94" s="3149" t="s">
        <v>3538</v>
      </c>
      <c r="G94" s="3149" t="s">
        <v>3512</v>
      </c>
      <c r="H94" s="3149" t="s">
        <v>3494</v>
      </c>
      <c r="I94" s="3149" t="s">
        <v>113</v>
      </c>
      <c r="J94" s="3149" t="s">
        <v>3389</v>
      </c>
      <c r="K94" s="3149" t="s">
        <v>3496</v>
      </c>
      <c r="L94" s="3150">
        <v>113.89</v>
      </c>
      <c r="M94" s="3150">
        <v>92.93</v>
      </c>
      <c r="N94" s="3161">
        <v>113.89</v>
      </c>
      <c r="O94" s="3150">
        <v>92.93</v>
      </c>
      <c r="P94" s="3151">
        <v>10633.36</v>
      </c>
      <c r="Q94" s="3151">
        <v>13031.67</v>
      </c>
      <c r="R94" s="3151">
        <v>1211033</v>
      </c>
      <c r="S94" s="3151">
        <v>11777.153399999999</v>
      </c>
      <c r="T94" s="3151">
        <v>14433.4445</v>
      </c>
      <c r="U94" s="3151">
        <v>1341300</v>
      </c>
      <c r="V94" s="3151">
        <v>10101.69</v>
      </c>
      <c r="W94" s="3151">
        <v>12380.08</v>
      </c>
      <c r="X94" s="3151">
        <v>1150481</v>
      </c>
      <c r="Y94" s="3152">
        <v>1150481</v>
      </c>
      <c r="Z94" s="3152">
        <v>0</v>
      </c>
      <c r="AA94" s="3153"/>
      <c r="AB94" s="3151">
        <v>1150481</v>
      </c>
      <c r="AC94" s="3154">
        <v>43819</v>
      </c>
      <c r="AD94" s="3154">
        <v>43915.685597453703</v>
      </c>
      <c r="AE94" s="3154">
        <v>43847.467454201389</v>
      </c>
      <c r="AF94" s="3154">
        <v>43920</v>
      </c>
      <c r="AG94" s="3154">
        <v>43921</v>
      </c>
      <c r="AH94" s="3154">
        <v>43942</v>
      </c>
      <c r="AI94" s="3154">
        <v>43955</v>
      </c>
      <c r="AJ94" s="3154">
        <v>44834</v>
      </c>
      <c r="AK94" s="3149"/>
      <c r="AL94" s="3154">
        <v>43814</v>
      </c>
      <c r="AM94" s="3149" t="s">
        <v>3416</v>
      </c>
      <c r="AN94" s="3149" t="s">
        <v>3588</v>
      </c>
      <c r="AO94" s="3149" t="s">
        <v>3576</v>
      </c>
      <c r="AP94" s="3149" t="s">
        <v>3577</v>
      </c>
      <c r="AQ94" s="3149"/>
      <c r="AR94" s="3149"/>
      <c r="AS94" s="3149"/>
      <c r="AT94" s="3149"/>
    </row>
    <row r="95" spans="1:46" ht="33.75">
      <c r="A95" s="3149">
        <v>87</v>
      </c>
      <c r="B95" s="3149" t="s">
        <v>3488</v>
      </c>
      <c r="C95" s="3149" t="s">
        <v>3489</v>
      </c>
      <c r="D95" s="3149" t="s">
        <v>3490</v>
      </c>
      <c r="E95" s="3149" t="s">
        <v>3557</v>
      </c>
      <c r="F95" s="3149" t="s">
        <v>3538</v>
      </c>
      <c r="G95" s="3149" t="s">
        <v>3513</v>
      </c>
      <c r="H95" s="3149" t="s">
        <v>3494</v>
      </c>
      <c r="I95" s="3149" t="s">
        <v>113</v>
      </c>
      <c r="J95" s="3149" t="s">
        <v>3389</v>
      </c>
      <c r="K95" s="3149" t="s">
        <v>3496</v>
      </c>
      <c r="L95" s="3150">
        <v>113.89</v>
      </c>
      <c r="M95" s="3150">
        <v>92.93</v>
      </c>
      <c r="N95" s="3161">
        <v>113.89</v>
      </c>
      <c r="O95" s="3150">
        <v>92.93</v>
      </c>
      <c r="P95" s="3151">
        <v>11243</v>
      </c>
      <c r="Q95" s="3151">
        <v>13778.81</v>
      </c>
      <c r="R95" s="3151">
        <v>1280465</v>
      </c>
      <c r="S95" s="3151">
        <v>11829.756799999999</v>
      </c>
      <c r="T95" s="3151">
        <v>14497.912399999999</v>
      </c>
      <c r="U95" s="3151">
        <v>1347291</v>
      </c>
      <c r="V95" s="3151">
        <v>10680.85</v>
      </c>
      <c r="W95" s="3151">
        <v>13089.87</v>
      </c>
      <c r="X95" s="3151">
        <v>1216442</v>
      </c>
      <c r="Y95" s="3152">
        <v>1216442</v>
      </c>
      <c r="Z95" s="3152">
        <v>0</v>
      </c>
      <c r="AA95" s="3153"/>
      <c r="AB95" s="3151">
        <v>1216442</v>
      </c>
      <c r="AC95" s="3154">
        <v>43819</v>
      </c>
      <c r="AD95" s="3154">
        <v>43847.46574915509</v>
      </c>
      <c r="AE95" s="3154">
        <v>43847.467454201389</v>
      </c>
      <c r="AF95" s="3154">
        <v>43882</v>
      </c>
      <c r="AG95" s="3154">
        <v>43887</v>
      </c>
      <c r="AH95" s="3154">
        <v>45127</v>
      </c>
      <c r="AI95" s="3154">
        <v>45156</v>
      </c>
      <c r="AJ95" s="3154">
        <v>44834</v>
      </c>
      <c r="AK95" s="3149"/>
      <c r="AL95" s="3154">
        <v>43814</v>
      </c>
      <c r="AM95" s="3149" t="s">
        <v>3416</v>
      </c>
      <c r="AN95" s="3149" t="s">
        <v>3589</v>
      </c>
      <c r="AO95" s="3149" t="s">
        <v>3527</v>
      </c>
      <c r="AP95" s="3149" t="s">
        <v>3499</v>
      </c>
      <c r="AQ95" s="3149" t="s">
        <v>3499</v>
      </c>
      <c r="AR95" s="3149"/>
      <c r="AS95" s="3149"/>
      <c r="AT95" s="3149"/>
    </row>
    <row r="96" spans="1:46" ht="33.75">
      <c r="A96" s="3149">
        <v>88</v>
      </c>
      <c r="B96" s="3149" t="s">
        <v>3488</v>
      </c>
      <c r="C96" s="3149" t="s">
        <v>3489</v>
      </c>
      <c r="D96" s="3149" t="s">
        <v>3490</v>
      </c>
      <c r="E96" s="3149" t="s">
        <v>3557</v>
      </c>
      <c r="F96" s="3149" t="s">
        <v>3538</v>
      </c>
      <c r="G96" s="3149" t="s">
        <v>3514</v>
      </c>
      <c r="H96" s="3149" t="s">
        <v>3494</v>
      </c>
      <c r="I96" s="3149" t="s">
        <v>113</v>
      </c>
      <c r="J96" s="3149" t="s">
        <v>3389</v>
      </c>
      <c r="K96" s="3149" t="s">
        <v>3496</v>
      </c>
      <c r="L96" s="3150">
        <v>113.89</v>
      </c>
      <c r="M96" s="3150">
        <v>92.93</v>
      </c>
      <c r="N96" s="3161">
        <v>113.89</v>
      </c>
      <c r="O96" s="3150">
        <v>92.93</v>
      </c>
      <c r="P96" s="3151">
        <v>11243</v>
      </c>
      <c r="Q96" s="3151">
        <v>13778.81</v>
      </c>
      <c r="R96" s="3151">
        <v>1280465</v>
      </c>
      <c r="S96" s="3151">
        <v>11829.756799999999</v>
      </c>
      <c r="T96" s="3151">
        <v>14497.912399999999</v>
      </c>
      <c r="U96" s="3151">
        <v>1347291</v>
      </c>
      <c r="V96" s="3151">
        <v>10680.85</v>
      </c>
      <c r="W96" s="3151">
        <v>13089.87</v>
      </c>
      <c r="X96" s="3151">
        <v>1216442</v>
      </c>
      <c r="Y96" s="3152">
        <v>1216442</v>
      </c>
      <c r="Z96" s="3152">
        <v>0</v>
      </c>
      <c r="AA96" s="3153"/>
      <c r="AB96" s="3151">
        <v>1216442</v>
      </c>
      <c r="AC96" s="3154">
        <v>43819</v>
      </c>
      <c r="AD96" s="3154">
        <v>43847.46574915509</v>
      </c>
      <c r="AE96" s="3154">
        <v>43847.467454201389</v>
      </c>
      <c r="AF96" s="3154">
        <v>43882</v>
      </c>
      <c r="AG96" s="3154">
        <v>43905</v>
      </c>
      <c r="AH96" s="3154">
        <v>44263</v>
      </c>
      <c r="AI96" s="3154">
        <v>44293</v>
      </c>
      <c r="AJ96" s="3154">
        <v>44834</v>
      </c>
      <c r="AK96" s="3149"/>
      <c r="AL96" s="3154">
        <v>43814</v>
      </c>
      <c r="AM96" s="3149" t="s">
        <v>3416</v>
      </c>
      <c r="AN96" s="3149" t="s">
        <v>3590</v>
      </c>
      <c r="AO96" s="3149" t="s">
        <v>3591</v>
      </c>
      <c r="AP96" s="3149" t="s">
        <v>3499</v>
      </c>
      <c r="AQ96" s="3149" t="s">
        <v>3499</v>
      </c>
      <c r="AR96" s="3149"/>
      <c r="AS96" s="3149"/>
      <c r="AT96" s="3149"/>
    </row>
    <row r="97" spans="1:46" ht="33.75">
      <c r="A97" s="3149">
        <v>89</v>
      </c>
      <c r="B97" s="3149" t="s">
        <v>3488</v>
      </c>
      <c r="C97" s="3149" t="s">
        <v>3489</v>
      </c>
      <c r="D97" s="3149" t="s">
        <v>3490</v>
      </c>
      <c r="E97" s="3149" t="s">
        <v>3557</v>
      </c>
      <c r="F97" s="3149" t="s">
        <v>3538</v>
      </c>
      <c r="G97" s="3149" t="s">
        <v>3515</v>
      </c>
      <c r="H97" s="3149" t="s">
        <v>3494</v>
      </c>
      <c r="I97" s="3149" t="s">
        <v>113</v>
      </c>
      <c r="J97" s="3149" t="s">
        <v>3389</v>
      </c>
      <c r="K97" s="3149" t="s">
        <v>3496</v>
      </c>
      <c r="L97" s="3150">
        <v>113.89</v>
      </c>
      <c r="M97" s="3150">
        <v>92.93</v>
      </c>
      <c r="N97" s="3161">
        <v>113.89</v>
      </c>
      <c r="O97" s="3150">
        <v>92.93</v>
      </c>
      <c r="P97" s="3151">
        <v>11343</v>
      </c>
      <c r="Q97" s="3151">
        <v>13901.37</v>
      </c>
      <c r="R97" s="3151">
        <v>1291854</v>
      </c>
      <c r="S97" s="3151">
        <v>11934.972299999999</v>
      </c>
      <c r="T97" s="3151">
        <v>14626.858899999999</v>
      </c>
      <c r="U97" s="3151">
        <v>1359274</v>
      </c>
      <c r="V97" s="3151">
        <v>10775.85</v>
      </c>
      <c r="W97" s="3151">
        <v>13206.3</v>
      </c>
      <c r="X97" s="3151">
        <v>1227261</v>
      </c>
      <c r="Y97" s="3152">
        <v>1227261</v>
      </c>
      <c r="Z97" s="3152">
        <v>0</v>
      </c>
      <c r="AA97" s="3153"/>
      <c r="AB97" s="3151">
        <v>1227261</v>
      </c>
      <c r="AC97" s="3154">
        <v>43819</v>
      </c>
      <c r="AD97" s="3154">
        <v>44581.438649884258</v>
      </c>
      <c r="AE97" s="3154">
        <v>43847.467454201389</v>
      </c>
      <c r="AF97" s="3154">
        <v>44581</v>
      </c>
      <c r="AG97" s="3154">
        <v>44582</v>
      </c>
      <c r="AH97" s="3154">
        <v>45054</v>
      </c>
      <c r="AI97" s="3149"/>
      <c r="AJ97" s="3154">
        <v>45199</v>
      </c>
      <c r="AK97" s="3149"/>
      <c r="AL97" s="3154">
        <v>43814</v>
      </c>
      <c r="AM97" s="3149" t="s">
        <v>3516</v>
      </c>
      <c r="AN97" s="3149" t="s">
        <v>3592</v>
      </c>
      <c r="AO97" s="3149" t="s">
        <v>3518</v>
      </c>
      <c r="AP97" s="3149" t="s">
        <v>3499</v>
      </c>
      <c r="AQ97" s="3149" t="s">
        <v>3499</v>
      </c>
      <c r="AR97" s="3149" t="s">
        <v>3519</v>
      </c>
      <c r="AS97" s="3149" t="s">
        <v>3520</v>
      </c>
      <c r="AT97" s="3149"/>
    </row>
    <row r="98" spans="1:46" ht="33.75">
      <c r="A98" s="3149">
        <v>90</v>
      </c>
      <c r="B98" s="3149" t="s">
        <v>3488</v>
      </c>
      <c r="C98" s="3149" t="s">
        <v>3489</v>
      </c>
      <c r="D98" s="3149" t="s">
        <v>3490</v>
      </c>
      <c r="E98" s="3149" t="s">
        <v>3557</v>
      </c>
      <c r="F98" s="3149" t="s">
        <v>3538</v>
      </c>
      <c r="G98" s="3149" t="s">
        <v>3521</v>
      </c>
      <c r="H98" s="3149" t="s">
        <v>3494</v>
      </c>
      <c r="I98" s="3149" t="s">
        <v>113</v>
      </c>
      <c r="J98" s="3149" t="s">
        <v>3389</v>
      </c>
      <c r="K98" s="3149" t="s">
        <v>3496</v>
      </c>
      <c r="L98" s="3150">
        <v>113.89</v>
      </c>
      <c r="M98" s="3150">
        <v>92.93</v>
      </c>
      <c r="N98" s="3161">
        <v>113.89</v>
      </c>
      <c r="O98" s="3150">
        <v>92.93</v>
      </c>
      <c r="P98" s="3151">
        <v>11343</v>
      </c>
      <c r="Q98" s="3151">
        <v>13901.37</v>
      </c>
      <c r="R98" s="3151">
        <v>1291854</v>
      </c>
      <c r="S98" s="3151">
        <v>11934.972299999999</v>
      </c>
      <c r="T98" s="3151">
        <v>14626.858899999999</v>
      </c>
      <c r="U98" s="3151">
        <v>1359274</v>
      </c>
      <c r="V98" s="3151">
        <v>10775.85</v>
      </c>
      <c r="W98" s="3151">
        <v>13206.3</v>
      </c>
      <c r="X98" s="3151">
        <v>1227261</v>
      </c>
      <c r="Y98" s="3152">
        <v>1227261</v>
      </c>
      <c r="Z98" s="3152">
        <v>0</v>
      </c>
      <c r="AA98" s="3153"/>
      <c r="AB98" s="3151">
        <v>1227261</v>
      </c>
      <c r="AC98" s="3154">
        <v>43819</v>
      </c>
      <c r="AD98" s="3154">
        <v>44581.438649884258</v>
      </c>
      <c r="AE98" s="3154">
        <v>43847.467454201389</v>
      </c>
      <c r="AF98" s="3154">
        <v>44581</v>
      </c>
      <c r="AG98" s="3154">
        <v>44582</v>
      </c>
      <c r="AH98" s="3154">
        <v>44980</v>
      </c>
      <c r="AI98" s="3149"/>
      <c r="AJ98" s="3154">
        <v>45199</v>
      </c>
      <c r="AK98" s="3149"/>
      <c r="AL98" s="3154">
        <v>43814</v>
      </c>
      <c r="AM98" s="3149" t="s">
        <v>3516</v>
      </c>
      <c r="AN98" s="3149" t="s">
        <v>3593</v>
      </c>
      <c r="AO98" s="3149" t="s">
        <v>3518</v>
      </c>
      <c r="AP98" s="3149" t="s">
        <v>3499</v>
      </c>
      <c r="AQ98" s="3149" t="s">
        <v>3499</v>
      </c>
      <c r="AR98" s="3149" t="s">
        <v>3519</v>
      </c>
      <c r="AS98" s="3149" t="s">
        <v>3520</v>
      </c>
      <c r="AT98" s="3149"/>
    </row>
    <row r="99" spans="1:46" ht="33.75">
      <c r="A99" s="3149">
        <v>91</v>
      </c>
      <c r="B99" s="3149" t="s">
        <v>3488</v>
      </c>
      <c r="C99" s="3149" t="s">
        <v>3489</v>
      </c>
      <c r="D99" s="3149" t="s">
        <v>3490</v>
      </c>
      <c r="E99" s="3149" t="s">
        <v>3557</v>
      </c>
      <c r="F99" s="3149" t="s">
        <v>3538</v>
      </c>
      <c r="G99" s="3149" t="s">
        <v>3522</v>
      </c>
      <c r="H99" s="3149" t="s">
        <v>3494</v>
      </c>
      <c r="I99" s="3149" t="s">
        <v>113</v>
      </c>
      <c r="J99" s="3149" t="s">
        <v>3389</v>
      </c>
      <c r="K99" s="3149" t="s">
        <v>3496</v>
      </c>
      <c r="L99" s="3150">
        <v>113.89</v>
      </c>
      <c r="M99" s="3150">
        <v>92.93</v>
      </c>
      <c r="N99" s="3161">
        <v>113.89</v>
      </c>
      <c r="O99" s="3150">
        <v>92.93</v>
      </c>
      <c r="P99" s="3151">
        <v>10870.85</v>
      </c>
      <c r="Q99" s="3151">
        <v>13322.73</v>
      </c>
      <c r="R99" s="3151">
        <v>1238081</v>
      </c>
      <c r="S99" s="3151">
        <v>12040.1967</v>
      </c>
      <c r="T99" s="3151">
        <v>14755.816199999999</v>
      </c>
      <c r="U99" s="3151">
        <v>1371258</v>
      </c>
      <c r="V99" s="3151">
        <v>10327.31</v>
      </c>
      <c r="W99" s="3151">
        <v>12656.59</v>
      </c>
      <c r="X99" s="3151">
        <v>1176177</v>
      </c>
      <c r="Y99" s="3152">
        <v>1176177</v>
      </c>
      <c r="Z99" s="3152">
        <v>0</v>
      </c>
      <c r="AA99" s="3153"/>
      <c r="AB99" s="3151">
        <v>1176177</v>
      </c>
      <c r="AC99" s="3154">
        <v>43819</v>
      </c>
      <c r="AD99" s="3154">
        <v>43915.685597453703</v>
      </c>
      <c r="AE99" s="3154">
        <v>43847.467454201389</v>
      </c>
      <c r="AF99" s="3154">
        <v>43920</v>
      </c>
      <c r="AG99" s="3154">
        <v>43920</v>
      </c>
      <c r="AH99" s="3154">
        <v>43943</v>
      </c>
      <c r="AI99" s="3154">
        <v>43955</v>
      </c>
      <c r="AJ99" s="3154">
        <v>44834</v>
      </c>
      <c r="AK99" s="3149"/>
      <c r="AL99" s="3154">
        <v>43814</v>
      </c>
      <c r="AM99" s="3149" t="s">
        <v>3416</v>
      </c>
      <c r="AN99" s="3149" t="s">
        <v>3594</v>
      </c>
      <c r="AO99" s="3149" t="s">
        <v>3595</v>
      </c>
      <c r="AP99" s="3149" t="s">
        <v>3577</v>
      </c>
      <c r="AQ99" s="3149"/>
      <c r="AR99" s="3149" t="s">
        <v>3519</v>
      </c>
      <c r="AS99" s="3149" t="s">
        <v>3596</v>
      </c>
      <c r="AT99" s="3149"/>
    </row>
    <row r="100" spans="1:46" ht="33.75">
      <c r="A100" s="3149">
        <v>92</v>
      </c>
      <c r="B100" s="3149" t="s">
        <v>3488</v>
      </c>
      <c r="C100" s="3149" t="s">
        <v>3489</v>
      </c>
      <c r="D100" s="3149" t="s">
        <v>3490</v>
      </c>
      <c r="E100" s="3149" t="s">
        <v>3557</v>
      </c>
      <c r="F100" s="3149" t="s">
        <v>3538</v>
      </c>
      <c r="G100" s="3149" t="s">
        <v>3523</v>
      </c>
      <c r="H100" s="3149" t="s">
        <v>3494</v>
      </c>
      <c r="I100" s="3149" t="s">
        <v>113</v>
      </c>
      <c r="J100" s="3149" t="s">
        <v>3389</v>
      </c>
      <c r="K100" s="3149" t="s">
        <v>3496</v>
      </c>
      <c r="L100" s="3150">
        <v>113.89</v>
      </c>
      <c r="M100" s="3150">
        <v>92.93</v>
      </c>
      <c r="N100" s="3161">
        <v>113.89</v>
      </c>
      <c r="O100" s="3150">
        <v>92.93</v>
      </c>
      <c r="P100" s="3151">
        <v>11443</v>
      </c>
      <c r="Q100" s="3151">
        <v>14023.92</v>
      </c>
      <c r="R100" s="3151">
        <v>1303243</v>
      </c>
      <c r="S100" s="3151">
        <v>12040.1967</v>
      </c>
      <c r="T100" s="3151">
        <v>14755.816199999999</v>
      </c>
      <c r="U100" s="3151">
        <v>1371258</v>
      </c>
      <c r="V100" s="3151">
        <v>11443.01</v>
      </c>
      <c r="W100" s="3151">
        <v>14023.93</v>
      </c>
      <c r="X100" s="3151">
        <v>1303244</v>
      </c>
      <c r="Y100" s="3152">
        <v>1303244</v>
      </c>
      <c r="Z100" s="3152">
        <v>0</v>
      </c>
      <c r="AA100" s="3153"/>
      <c r="AB100" s="3151">
        <v>0</v>
      </c>
      <c r="AC100" s="3154">
        <v>43819</v>
      </c>
      <c r="AD100" s="3154">
        <v>43847.46574915509</v>
      </c>
      <c r="AE100" s="3154">
        <v>43847.467454201389</v>
      </c>
      <c r="AF100" s="3154">
        <v>43904</v>
      </c>
      <c r="AG100" s="3154">
        <v>43982</v>
      </c>
      <c r="AH100" s="3154">
        <v>44061</v>
      </c>
      <c r="AI100" s="3154">
        <v>44081</v>
      </c>
      <c r="AJ100" s="3154">
        <v>44834</v>
      </c>
      <c r="AK100" s="3149"/>
      <c r="AL100" s="3154">
        <v>43814</v>
      </c>
      <c r="AM100" s="3149" t="s">
        <v>3416</v>
      </c>
      <c r="AN100" s="3149" t="s">
        <v>3597</v>
      </c>
      <c r="AO100" s="3149" t="s">
        <v>3504</v>
      </c>
      <c r="AP100" s="3149" t="s">
        <v>3499</v>
      </c>
      <c r="AQ100" s="3149" t="s">
        <v>3499</v>
      </c>
      <c r="AR100" s="3149" t="s">
        <v>3566</v>
      </c>
      <c r="AS100" s="3149" t="s">
        <v>3598</v>
      </c>
      <c r="AT100" s="3149"/>
    </row>
    <row r="101" spans="1:46" ht="33.75">
      <c r="A101" s="3149">
        <v>93</v>
      </c>
      <c r="B101" s="3149" t="s">
        <v>3488</v>
      </c>
      <c r="C101" s="3149" t="s">
        <v>3489</v>
      </c>
      <c r="D101" s="3149" t="s">
        <v>3490</v>
      </c>
      <c r="E101" s="3149" t="s">
        <v>3557</v>
      </c>
      <c r="F101" s="3149" t="s">
        <v>3538</v>
      </c>
      <c r="G101" s="3149" t="s">
        <v>3525</v>
      </c>
      <c r="H101" s="3149" t="s">
        <v>3494</v>
      </c>
      <c r="I101" s="3149" t="s">
        <v>113</v>
      </c>
      <c r="J101" s="3149" t="s">
        <v>3389</v>
      </c>
      <c r="K101" s="3149" t="s">
        <v>3496</v>
      </c>
      <c r="L101" s="3150">
        <v>113.89</v>
      </c>
      <c r="M101" s="3150">
        <v>92.93</v>
      </c>
      <c r="N101" s="3161">
        <v>113.89</v>
      </c>
      <c r="O101" s="3150">
        <v>92.93</v>
      </c>
      <c r="P101" s="3151">
        <v>9500</v>
      </c>
      <c r="Q101" s="3151">
        <v>11642.69</v>
      </c>
      <c r="R101" s="3151">
        <v>1081955</v>
      </c>
      <c r="S101" s="3151">
        <v>12145.412200000001</v>
      </c>
      <c r="T101" s="3151">
        <v>14884.762699999999</v>
      </c>
      <c r="U101" s="3151">
        <v>1383241</v>
      </c>
      <c r="V101" s="3151">
        <v>9999</v>
      </c>
      <c r="W101" s="3151">
        <v>12254.23</v>
      </c>
      <c r="X101" s="3151">
        <v>1138786</v>
      </c>
      <c r="Y101" s="3152">
        <v>1138786</v>
      </c>
      <c r="Z101" s="3152">
        <v>0</v>
      </c>
      <c r="AA101" s="3153"/>
      <c r="AB101" s="3151">
        <v>1138786</v>
      </c>
      <c r="AC101" s="3154">
        <v>43819</v>
      </c>
      <c r="AD101" s="3154">
        <v>44102.575221215273</v>
      </c>
      <c r="AE101" s="3154">
        <v>43847.467454201389</v>
      </c>
      <c r="AF101" s="3154">
        <v>44187</v>
      </c>
      <c r="AG101" s="3154">
        <v>44188</v>
      </c>
      <c r="AH101" s="3154">
        <v>44203</v>
      </c>
      <c r="AI101" s="3154">
        <v>44207</v>
      </c>
      <c r="AJ101" s="3154">
        <v>44834</v>
      </c>
      <c r="AK101" s="3149"/>
      <c r="AL101" s="3154">
        <v>43814</v>
      </c>
      <c r="AM101" s="3149" t="s">
        <v>3416</v>
      </c>
      <c r="AN101" s="3149" t="s">
        <v>3599</v>
      </c>
      <c r="AO101" s="3149" t="s">
        <v>3527</v>
      </c>
      <c r="AP101" s="3149" t="s">
        <v>3499</v>
      </c>
      <c r="AQ101" s="3149" t="s">
        <v>3499</v>
      </c>
      <c r="AR101" s="3149" t="s">
        <v>3500</v>
      </c>
      <c r="AS101" s="3149" t="s">
        <v>3501</v>
      </c>
      <c r="AT101" s="3149"/>
    </row>
    <row r="102" spans="1:46" ht="33.75">
      <c r="A102" s="3149">
        <v>94</v>
      </c>
      <c r="B102" s="3149" t="s">
        <v>3488</v>
      </c>
      <c r="C102" s="3149" t="s">
        <v>3489</v>
      </c>
      <c r="D102" s="3149" t="s">
        <v>3490</v>
      </c>
      <c r="E102" s="3149" t="s">
        <v>3557</v>
      </c>
      <c r="F102" s="3149" t="s">
        <v>3538</v>
      </c>
      <c r="G102" s="3149" t="s">
        <v>3528</v>
      </c>
      <c r="H102" s="3149" t="s">
        <v>3494</v>
      </c>
      <c r="I102" s="3149" t="s">
        <v>113</v>
      </c>
      <c r="J102" s="3149" t="s">
        <v>3389</v>
      </c>
      <c r="K102" s="3149" t="s">
        <v>3496</v>
      </c>
      <c r="L102" s="3150">
        <v>113.89</v>
      </c>
      <c r="M102" s="3150">
        <v>92.93</v>
      </c>
      <c r="N102" s="3161">
        <v>113.89</v>
      </c>
      <c r="O102" s="3150">
        <v>92.93</v>
      </c>
      <c r="P102" s="3151">
        <v>10965.85</v>
      </c>
      <c r="Q102" s="3151">
        <v>13439.16</v>
      </c>
      <c r="R102" s="3151">
        <v>1248901</v>
      </c>
      <c r="S102" s="3151">
        <v>12145.412200000001</v>
      </c>
      <c r="T102" s="3151">
        <v>14884.762699999999</v>
      </c>
      <c r="U102" s="3151">
        <v>1383241</v>
      </c>
      <c r="V102" s="3151">
        <v>10417.56</v>
      </c>
      <c r="W102" s="3151">
        <v>12767.2</v>
      </c>
      <c r="X102" s="3151">
        <v>1186456</v>
      </c>
      <c r="Y102" s="3152">
        <v>1186456</v>
      </c>
      <c r="Z102" s="3152">
        <v>0</v>
      </c>
      <c r="AA102" s="3153"/>
      <c r="AB102" s="3151">
        <v>1186456</v>
      </c>
      <c r="AC102" s="3154">
        <v>43819</v>
      </c>
      <c r="AD102" s="3154">
        <v>43915.685597453703</v>
      </c>
      <c r="AE102" s="3154">
        <v>43847.467454201389</v>
      </c>
      <c r="AF102" s="3154">
        <v>43917</v>
      </c>
      <c r="AG102" s="3154">
        <v>44053</v>
      </c>
      <c r="AH102" s="3154">
        <v>44097</v>
      </c>
      <c r="AI102" s="3154">
        <v>44120</v>
      </c>
      <c r="AJ102" s="3154">
        <v>44834</v>
      </c>
      <c r="AK102" s="3149"/>
      <c r="AL102" s="3154">
        <v>43814</v>
      </c>
      <c r="AM102" s="3149" t="s">
        <v>3416</v>
      </c>
      <c r="AN102" s="3149" t="s">
        <v>3600</v>
      </c>
      <c r="AO102" s="3149" t="s">
        <v>3498</v>
      </c>
      <c r="AP102" s="3149" t="s">
        <v>3499</v>
      </c>
      <c r="AQ102" s="3149" t="s">
        <v>3499</v>
      </c>
      <c r="AR102" s="3149" t="s">
        <v>3519</v>
      </c>
      <c r="AS102" s="3149" t="s">
        <v>3596</v>
      </c>
      <c r="AT102" s="3149"/>
    </row>
    <row r="103" spans="1:46" ht="33.75">
      <c r="A103" s="3149">
        <v>95</v>
      </c>
      <c r="B103" s="3149" t="s">
        <v>3488</v>
      </c>
      <c r="C103" s="3149" t="s">
        <v>3489</v>
      </c>
      <c r="D103" s="3149" t="s">
        <v>3490</v>
      </c>
      <c r="E103" s="3149" t="s">
        <v>3557</v>
      </c>
      <c r="F103" s="3149" t="s">
        <v>3538</v>
      </c>
      <c r="G103" s="3149" t="s">
        <v>3529</v>
      </c>
      <c r="H103" s="3149" t="s">
        <v>3509</v>
      </c>
      <c r="I103" s="3149" t="s">
        <v>113</v>
      </c>
      <c r="J103" s="3149" t="s">
        <v>3389</v>
      </c>
      <c r="K103" s="3149" t="s">
        <v>3496</v>
      </c>
      <c r="L103" s="3150">
        <v>113.89</v>
      </c>
      <c r="M103" s="3150">
        <v>92.93</v>
      </c>
      <c r="N103" s="3161">
        <v>113.89</v>
      </c>
      <c r="O103" s="3150">
        <v>92.93</v>
      </c>
      <c r="P103" s="3151">
        <v>5800</v>
      </c>
      <c r="Q103" s="3151">
        <v>7108.17</v>
      </c>
      <c r="R103" s="3151">
        <v>660562</v>
      </c>
      <c r="S103" s="3151">
        <v>5800</v>
      </c>
      <c r="T103" s="3151">
        <v>7108.1674000000003</v>
      </c>
      <c r="U103" s="3151">
        <v>660562</v>
      </c>
      <c r="V103" s="3153"/>
      <c r="W103" s="3153"/>
      <c r="X103" s="3153"/>
      <c r="Y103" s="3153"/>
      <c r="Z103" s="3152">
        <v>0</v>
      </c>
      <c r="AA103" s="3153"/>
      <c r="AB103" s="3151">
        <v>0</v>
      </c>
      <c r="AC103" s="3154">
        <v>43819</v>
      </c>
      <c r="AD103" s="3154">
        <v>45264.773614039354</v>
      </c>
      <c r="AE103" s="3154">
        <v>43847.467454201389</v>
      </c>
      <c r="AF103" s="3149"/>
      <c r="AG103" s="3149"/>
      <c r="AH103" s="3149"/>
      <c r="AI103" s="3149"/>
      <c r="AJ103" s="3149"/>
      <c r="AK103" s="3149"/>
      <c r="AL103" s="3154">
        <v>43814</v>
      </c>
      <c r="AM103" s="3149"/>
      <c r="AN103" s="3149"/>
      <c r="AO103" s="3149"/>
      <c r="AP103" s="3149"/>
      <c r="AQ103" s="3149"/>
      <c r="AR103" s="3149"/>
      <c r="AS103" s="3149"/>
      <c r="AT103" s="3149"/>
    </row>
    <row r="104" spans="1:46" ht="33.75">
      <c r="A104" s="3149">
        <v>96</v>
      </c>
      <c r="B104" s="3149" t="s">
        <v>3488</v>
      </c>
      <c r="C104" s="3149" t="s">
        <v>3489</v>
      </c>
      <c r="D104" s="3149" t="s">
        <v>3490</v>
      </c>
      <c r="E104" s="3149" t="s">
        <v>3557</v>
      </c>
      <c r="F104" s="3149" t="s">
        <v>3538</v>
      </c>
      <c r="G104" s="3149" t="s">
        <v>3530</v>
      </c>
      <c r="H104" s="3149" t="s">
        <v>3494</v>
      </c>
      <c r="I104" s="3149" t="s">
        <v>113</v>
      </c>
      <c r="J104" s="3149" t="s">
        <v>3389</v>
      </c>
      <c r="K104" s="3149" t="s">
        <v>3496</v>
      </c>
      <c r="L104" s="3150">
        <v>113.89</v>
      </c>
      <c r="M104" s="3150">
        <v>92.93</v>
      </c>
      <c r="N104" s="3161">
        <v>113.89</v>
      </c>
      <c r="O104" s="3150">
        <v>92.93</v>
      </c>
      <c r="P104" s="3151">
        <v>11643</v>
      </c>
      <c r="Q104" s="3151">
        <v>14269.03</v>
      </c>
      <c r="R104" s="3151">
        <v>1326021</v>
      </c>
      <c r="S104" s="3151">
        <v>12250.6366</v>
      </c>
      <c r="T104" s="3151">
        <v>15013.72</v>
      </c>
      <c r="U104" s="3151">
        <v>1395225</v>
      </c>
      <c r="V104" s="3151">
        <v>11060.86</v>
      </c>
      <c r="W104" s="3151">
        <v>13555.59</v>
      </c>
      <c r="X104" s="3151">
        <v>1259721</v>
      </c>
      <c r="Y104" s="3152">
        <v>1259721</v>
      </c>
      <c r="Z104" s="3152">
        <v>0</v>
      </c>
      <c r="AA104" s="3153"/>
      <c r="AB104" s="3151">
        <v>1259721</v>
      </c>
      <c r="AC104" s="3154">
        <v>43819</v>
      </c>
      <c r="AD104" s="3154">
        <v>43847.46574915509</v>
      </c>
      <c r="AE104" s="3154">
        <v>43847.467454201389</v>
      </c>
      <c r="AF104" s="3154">
        <v>43851</v>
      </c>
      <c r="AG104" s="3154">
        <v>43905</v>
      </c>
      <c r="AH104" s="3154">
        <v>43937</v>
      </c>
      <c r="AI104" s="3154">
        <v>43949</v>
      </c>
      <c r="AJ104" s="3154">
        <v>44834</v>
      </c>
      <c r="AK104" s="3149"/>
      <c r="AL104" s="3154">
        <v>43814</v>
      </c>
      <c r="AM104" s="3149" t="s">
        <v>3416</v>
      </c>
      <c r="AN104" s="3149" t="s">
        <v>3601</v>
      </c>
      <c r="AO104" s="3149" t="s">
        <v>3591</v>
      </c>
      <c r="AP104" s="3149" t="s">
        <v>3499</v>
      </c>
      <c r="AQ104" s="3149" t="s">
        <v>3499</v>
      </c>
      <c r="AR104" s="3149" t="s">
        <v>3519</v>
      </c>
      <c r="AS104" s="3149" t="s">
        <v>3596</v>
      </c>
      <c r="AT104" s="3149"/>
    </row>
    <row r="105" spans="1:46" ht="33.75">
      <c r="A105" s="3149">
        <v>97</v>
      </c>
      <c r="B105" s="3149" t="s">
        <v>3488</v>
      </c>
      <c r="C105" s="3149" t="s">
        <v>3489</v>
      </c>
      <c r="D105" s="3149" t="s">
        <v>3490</v>
      </c>
      <c r="E105" s="3149" t="s">
        <v>3557</v>
      </c>
      <c r="F105" s="3149" t="s">
        <v>3538</v>
      </c>
      <c r="G105" s="3149" t="s">
        <v>3532</v>
      </c>
      <c r="H105" s="3149" t="s">
        <v>3494</v>
      </c>
      <c r="I105" s="3149" t="s">
        <v>113</v>
      </c>
      <c r="J105" s="3149" t="s">
        <v>3389</v>
      </c>
      <c r="K105" s="3149" t="s">
        <v>3496</v>
      </c>
      <c r="L105" s="3150">
        <v>113.89</v>
      </c>
      <c r="M105" s="3150">
        <v>92.93</v>
      </c>
      <c r="N105" s="3161">
        <v>113.89</v>
      </c>
      <c r="O105" s="3150">
        <v>92.93</v>
      </c>
      <c r="P105" s="3151">
        <v>11743</v>
      </c>
      <c r="Q105" s="3151">
        <v>14391.59</v>
      </c>
      <c r="R105" s="3151">
        <v>1337410</v>
      </c>
      <c r="S105" s="3151">
        <v>12355.8521</v>
      </c>
      <c r="T105" s="3151">
        <v>15142.666499999999</v>
      </c>
      <c r="U105" s="3151">
        <v>1407208</v>
      </c>
      <c r="V105" s="3151">
        <v>11155.85</v>
      </c>
      <c r="W105" s="3151">
        <v>13672.01</v>
      </c>
      <c r="X105" s="3151">
        <v>1270540</v>
      </c>
      <c r="Y105" s="3152">
        <v>1270540</v>
      </c>
      <c r="Z105" s="3152">
        <v>0</v>
      </c>
      <c r="AA105" s="3153"/>
      <c r="AB105" s="3151">
        <v>1270540</v>
      </c>
      <c r="AC105" s="3154">
        <v>43819</v>
      </c>
      <c r="AD105" s="3154">
        <v>43847.46574915509</v>
      </c>
      <c r="AE105" s="3154">
        <v>43847.467454201389</v>
      </c>
      <c r="AF105" s="3154">
        <v>43872</v>
      </c>
      <c r="AG105" s="3154">
        <v>43934</v>
      </c>
      <c r="AH105" s="3154">
        <v>44292</v>
      </c>
      <c r="AI105" s="3154">
        <v>44301</v>
      </c>
      <c r="AJ105" s="3154">
        <v>44834</v>
      </c>
      <c r="AK105" s="3149"/>
      <c r="AL105" s="3154">
        <v>43814</v>
      </c>
      <c r="AM105" s="3149" t="s">
        <v>3416</v>
      </c>
      <c r="AN105" s="3149" t="s">
        <v>3602</v>
      </c>
      <c r="AO105" s="3149" t="s">
        <v>3603</v>
      </c>
      <c r="AP105" s="3149" t="s">
        <v>3577</v>
      </c>
      <c r="AQ105" s="3149"/>
      <c r="AR105" s="3149"/>
      <c r="AS105" s="3149"/>
      <c r="AT105" s="3149"/>
    </row>
    <row r="106" spans="1:46" ht="33.75">
      <c r="A106" s="3149">
        <v>98</v>
      </c>
      <c r="B106" s="3149" t="s">
        <v>3488</v>
      </c>
      <c r="C106" s="3149" t="s">
        <v>3489</v>
      </c>
      <c r="D106" s="3149" t="s">
        <v>3490</v>
      </c>
      <c r="E106" s="3149" t="s">
        <v>3557</v>
      </c>
      <c r="F106" s="3149" t="s">
        <v>3538</v>
      </c>
      <c r="G106" s="3149" t="s">
        <v>3534</v>
      </c>
      <c r="H106" s="3149" t="s">
        <v>3494</v>
      </c>
      <c r="I106" s="3149" t="s">
        <v>113</v>
      </c>
      <c r="J106" s="3149" t="s">
        <v>3389</v>
      </c>
      <c r="K106" s="3149" t="s">
        <v>3496</v>
      </c>
      <c r="L106" s="3150">
        <v>113.89</v>
      </c>
      <c r="M106" s="3150">
        <v>92.93</v>
      </c>
      <c r="N106" s="3161">
        <v>113.89</v>
      </c>
      <c r="O106" s="3150">
        <v>92.93</v>
      </c>
      <c r="P106" s="3151">
        <v>11743</v>
      </c>
      <c r="Q106" s="3151">
        <v>14391.59</v>
      </c>
      <c r="R106" s="3151">
        <v>1337410</v>
      </c>
      <c r="S106" s="3151">
        <v>12355.8521</v>
      </c>
      <c r="T106" s="3151">
        <v>15142.666499999999</v>
      </c>
      <c r="U106" s="3151">
        <v>1407208</v>
      </c>
      <c r="V106" s="3151">
        <v>11743</v>
      </c>
      <c r="W106" s="3151">
        <v>14391.59</v>
      </c>
      <c r="X106" s="3151">
        <v>1337410</v>
      </c>
      <c r="Y106" s="3152">
        <v>1337410</v>
      </c>
      <c r="Z106" s="3152">
        <v>0</v>
      </c>
      <c r="AA106" s="3153"/>
      <c r="AB106" s="3151">
        <v>1337410</v>
      </c>
      <c r="AC106" s="3154">
        <v>43819</v>
      </c>
      <c r="AD106" s="3154">
        <v>43847.46574915509</v>
      </c>
      <c r="AE106" s="3154">
        <v>43847.467454201389</v>
      </c>
      <c r="AF106" s="3154">
        <v>43851</v>
      </c>
      <c r="AG106" s="3154">
        <v>43886</v>
      </c>
      <c r="AH106" s="3154">
        <v>43922</v>
      </c>
      <c r="AI106" s="3154">
        <v>43944</v>
      </c>
      <c r="AJ106" s="3154">
        <v>44834</v>
      </c>
      <c r="AK106" s="3149"/>
      <c r="AL106" s="3154">
        <v>43814</v>
      </c>
      <c r="AM106" s="3149" t="s">
        <v>3416</v>
      </c>
      <c r="AN106" s="3149" t="s">
        <v>3604</v>
      </c>
      <c r="AO106" s="3149" t="s">
        <v>3556</v>
      </c>
      <c r="AP106" s="3149" t="s">
        <v>3499</v>
      </c>
      <c r="AQ106" s="3149" t="s">
        <v>3499</v>
      </c>
      <c r="AR106" s="3149"/>
      <c r="AS106" s="3149"/>
      <c r="AT106" s="3149"/>
    </row>
    <row r="107" spans="1:46" ht="33.75">
      <c r="A107" s="3149">
        <v>99</v>
      </c>
      <c r="B107" s="3149" t="s">
        <v>3488</v>
      </c>
      <c r="C107" s="3149" t="s">
        <v>3489</v>
      </c>
      <c r="D107" s="3149" t="s">
        <v>3490</v>
      </c>
      <c r="E107" s="3149" t="s">
        <v>3557</v>
      </c>
      <c r="F107" s="3149" t="s">
        <v>3538</v>
      </c>
      <c r="G107" s="3149" t="s">
        <v>3536</v>
      </c>
      <c r="H107" s="3149" t="s">
        <v>3494</v>
      </c>
      <c r="I107" s="3149" t="s">
        <v>113</v>
      </c>
      <c r="J107" s="3149" t="s">
        <v>3389</v>
      </c>
      <c r="K107" s="3149" t="s">
        <v>3496</v>
      </c>
      <c r="L107" s="3150">
        <v>151.22999999999999</v>
      </c>
      <c r="M107" s="3150">
        <v>123.4</v>
      </c>
      <c r="N107" s="3161">
        <v>151.22999999999999</v>
      </c>
      <c r="O107" s="3150">
        <v>123.4</v>
      </c>
      <c r="P107" s="3151">
        <v>10871.91</v>
      </c>
      <c r="Q107" s="3151">
        <v>13323.82</v>
      </c>
      <c r="R107" s="3151">
        <v>1644159</v>
      </c>
      <c r="S107" s="3151">
        <v>11439.304400000001</v>
      </c>
      <c r="T107" s="3151">
        <v>14019.1734</v>
      </c>
      <c r="U107" s="3151">
        <v>1729966</v>
      </c>
      <c r="V107" s="3151">
        <v>10328.32</v>
      </c>
      <c r="W107" s="3151">
        <v>12657.63</v>
      </c>
      <c r="X107" s="3151">
        <v>1561952</v>
      </c>
      <c r="Y107" s="3152">
        <v>1561952</v>
      </c>
      <c r="Z107" s="3152">
        <v>0</v>
      </c>
      <c r="AA107" s="3153"/>
      <c r="AB107" s="3151">
        <v>1561952</v>
      </c>
      <c r="AC107" s="3154">
        <v>43819</v>
      </c>
      <c r="AD107" s="3154">
        <v>43847.46574915509</v>
      </c>
      <c r="AE107" s="3154">
        <v>43847.467454201389</v>
      </c>
      <c r="AF107" s="3154">
        <v>43889</v>
      </c>
      <c r="AG107" s="3154">
        <v>43909</v>
      </c>
      <c r="AH107" s="3154">
        <v>44263</v>
      </c>
      <c r="AI107" s="3154">
        <v>44293</v>
      </c>
      <c r="AJ107" s="3154">
        <v>44834</v>
      </c>
      <c r="AK107" s="3149"/>
      <c r="AL107" s="3154">
        <v>43814</v>
      </c>
      <c r="AM107" s="3149" t="s">
        <v>3416</v>
      </c>
      <c r="AN107" s="3149" t="s">
        <v>3605</v>
      </c>
      <c r="AO107" s="3149" t="s">
        <v>3606</v>
      </c>
      <c r="AP107" s="3149" t="s">
        <v>3499</v>
      </c>
      <c r="AQ107" s="3149" t="s">
        <v>3499</v>
      </c>
      <c r="AR107" s="3149"/>
      <c r="AS107" s="3149"/>
      <c r="AT107" s="3149"/>
    </row>
    <row r="108" spans="1:46" ht="33.75">
      <c r="A108" s="3149">
        <v>100</v>
      </c>
      <c r="B108" s="3149" t="s">
        <v>3488</v>
      </c>
      <c r="C108" s="3149" t="s">
        <v>3489</v>
      </c>
      <c r="D108" s="3149" t="s">
        <v>3490</v>
      </c>
      <c r="E108" s="3149" t="s">
        <v>3557</v>
      </c>
      <c r="F108" s="3149" t="s">
        <v>3538</v>
      </c>
      <c r="G108" s="3149" t="s">
        <v>3537</v>
      </c>
      <c r="H108" s="3149" t="s">
        <v>3494</v>
      </c>
      <c r="I108" s="3149" t="s">
        <v>113</v>
      </c>
      <c r="J108" s="3149" t="s">
        <v>3389</v>
      </c>
      <c r="K108" s="3149" t="s">
        <v>3496</v>
      </c>
      <c r="L108" s="3150">
        <v>151.22999999999999</v>
      </c>
      <c r="M108" s="3150">
        <v>123.4</v>
      </c>
      <c r="N108" s="3161">
        <v>151.22999999999999</v>
      </c>
      <c r="O108" s="3150">
        <v>123.4</v>
      </c>
      <c r="P108" s="3151">
        <v>8550</v>
      </c>
      <c r="Q108" s="3151">
        <v>10478.26</v>
      </c>
      <c r="R108" s="3151">
        <v>1293017</v>
      </c>
      <c r="S108" s="3151">
        <v>9968.1082000000006</v>
      </c>
      <c r="T108" s="3151">
        <v>12216.1831</v>
      </c>
      <c r="U108" s="3151">
        <v>1507477</v>
      </c>
      <c r="V108" s="3151">
        <v>8550</v>
      </c>
      <c r="W108" s="3151">
        <v>10478.26</v>
      </c>
      <c r="X108" s="3151">
        <v>1293017</v>
      </c>
      <c r="Y108" s="3152">
        <v>1293017</v>
      </c>
      <c r="Z108" s="3152">
        <v>0</v>
      </c>
      <c r="AA108" s="3153"/>
      <c r="AB108" s="3151">
        <v>1293017</v>
      </c>
      <c r="AC108" s="3154">
        <v>43819</v>
      </c>
      <c r="AD108" s="3154">
        <v>44372.487411145834</v>
      </c>
      <c r="AE108" s="3154">
        <v>43847.467454201389</v>
      </c>
      <c r="AF108" s="3154">
        <v>45128</v>
      </c>
      <c r="AG108" s="3154">
        <v>45131</v>
      </c>
      <c r="AH108" s="3149"/>
      <c r="AI108" s="3149"/>
      <c r="AJ108" s="3154">
        <v>44834</v>
      </c>
      <c r="AK108" s="3149"/>
      <c r="AL108" s="3154">
        <v>43814</v>
      </c>
      <c r="AM108" s="3149" t="s">
        <v>3516</v>
      </c>
      <c r="AN108" s="3149" t="s">
        <v>3607</v>
      </c>
      <c r="AO108" s="3149" t="s">
        <v>3608</v>
      </c>
      <c r="AP108" s="3149"/>
      <c r="AQ108" s="3149"/>
      <c r="AR108" s="3149" t="s">
        <v>3519</v>
      </c>
      <c r="AS108" s="3149" t="s">
        <v>3520</v>
      </c>
      <c r="AT108" s="3149"/>
    </row>
    <row r="109" spans="1:46" ht="33.75">
      <c r="A109" s="3149">
        <v>101</v>
      </c>
      <c r="B109" s="3149" t="s">
        <v>3488</v>
      </c>
      <c r="C109" s="3149" t="s">
        <v>3489</v>
      </c>
      <c r="D109" s="3149" t="s">
        <v>3490</v>
      </c>
      <c r="E109" s="3149" t="s">
        <v>3557</v>
      </c>
      <c r="F109" s="3149" t="s">
        <v>3546</v>
      </c>
      <c r="G109" s="3149" t="s">
        <v>3493</v>
      </c>
      <c r="H109" s="3149" t="s">
        <v>3494</v>
      </c>
      <c r="I109" s="3149" t="s">
        <v>113</v>
      </c>
      <c r="J109" s="3149" t="s">
        <v>3389</v>
      </c>
      <c r="K109" s="3149" t="s">
        <v>3496</v>
      </c>
      <c r="L109" s="3150">
        <v>113.89</v>
      </c>
      <c r="M109" s="3150">
        <v>92.93</v>
      </c>
      <c r="N109" s="3161">
        <v>113.89</v>
      </c>
      <c r="O109" s="3150">
        <v>92.93</v>
      </c>
      <c r="P109" s="3151">
        <v>13900</v>
      </c>
      <c r="Q109" s="3151">
        <v>17035.09</v>
      </c>
      <c r="R109" s="3151">
        <v>1583071</v>
      </c>
      <c r="S109" s="3151">
        <v>13900</v>
      </c>
      <c r="T109" s="3151">
        <v>17035.090899999999</v>
      </c>
      <c r="U109" s="3151">
        <v>1583071</v>
      </c>
      <c r="V109" s="3151">
        <v>13205</v>
      </c>
      <c r="W109" s="3151">
        <v>16183.33</v>
      </c>
      <c r="X109" s="3151">
        <v>1503917</v>
      </c>
      <c r="Y109" s="3152">
        <v>1503917</v>
      </c>
      <c r="Z109" s="3152">
        <v>0</v>
      </c>
      <c r="AA109" s="3153"/>
      <c r="AB109" s="3151">
        <v>1503917</v>
      </c>
      <c r="AC109" s="3154">
        <v>43819</v>
      </c>
      <c r="AD109" s="3154">
        <v>43847.46574915509</v>
      </c>
      <c r="AE109" s="3154">
        <v>43847.467454201389</v>
      </c>
      <c r="AF109" s="3154">
        <v>43865</v>
      </c>
      <c r="AG109" s="3154">
        <v>43888</v>
      </c>
      <c r="AH109" s="3154">
        <v>43938</v>
      </c>
      <c r="AI109" s="3154">
        <v>43959</v>
      </c>
      <c r="AJ109" s="3154">
        <v>44834</v>
      </c>
      <c r="AK109" s="3149"/>
      <c r="AL109" s="3154">
        <v>43814</v>
      </c>
      <c r="AM109" s="3149" t="s">
        <v>3416</v>
      </c>
      <c r="AN109" s="3149" t="s">
        <v>3609</v>
      </c>
      <c r="AO109" s="3149" t="s">
        <v>3610</v>
      </c>
      <c r="AP109" s="3149" t="s">
        <v>3577</v>
      </c>
      <c r="AQ109" s="3149"/>
      <c r="AR109" s="3149" t="s">
        <v>3519</v>
      </c>
      <c r="AS109" s="3149" t="s">
        <v>3596</v>
      </c>
      <c r="AT109" s="3149"/>
    </row>
    <row r="110" spans="1:46" ht="33.75">
      <c r="A110" s="3149">
        <v>102</v>
      </c>
      <c r="B110" s="3149" t="s">
        <v>3488</v>
      </c>
      <c r="C110" s="3149" t="s">
        <v>3489</v>
      </c>
      <c r="D110" s="3149" t="s">
        <v>3490</v>
      </c>
      <c r="E110" s="3149" t="s">
        <v>3557</v>
      </c>
      <c r="F110" s="3149" t="s">
        <v>3546</v>
      </c>
      <c r="G110" s="3149" t="s">
        <v>3502</v>
      </c>
      <c r="H110" s="3149" t="s">
        <v>3509</v>
      </c>
      <c r="I110" s="3149" t="s">
        <v>113</v>
      </c>
      <c r="J110" s="3149" t="s">
        <v>3389</v>
      </c>
      <c r="K110" s="3149" t="s">
        <v>3496</v>
      </c>
      <c r="L110" s="3150">
        <v>113.89</v>
      </c>
      <c r="M110" s="3150">
        <v>92.93</v>
      </c>
      <c r="N110" s="3161">
        <v>113.89</v>
      </c>
      <c r="O110" s="3150">
        <v>92.93</v>
      </c>
      <c r="P110" s="3151">
        <v>5900</v>
      </c>
      <c r="Q110" s="3151">
        <v>7230.72</v>
      </c>
      <c r="R110" s="3151">
        <v>671951</v>
      </c>
      <c r="S110" s="3151">
        <v>5900</v>
      </c>
      <c r="T110" s="3151">
        <v>7230.7219999999998</v>
      </c>
      <c r="U110" s="3151">
        <v>671951</v>
      </c>
      <c r="V110" s="3153"/>
      <c r="W110" s="3153"/>
      <c r="X110" s="3153"/>
      <c r="Y110" s="3153"/>
      <c r="Z110" s="3152">
        <v>0</v>
      </c>
      <c r="AA110" s="3153"/>
      <c r="AB110" s="3151">
        <v>0</v>
      </c>
      <c r="AC110" s="3154">
        <v>43819</v>
      </c>
      <c r="AD110" s="3154">
        <v>45264.773614039354</v>
      </c>
      <c r="AE110" s="3154">
        <v>43847.467454201389</v>
      </c>
      <c r="AF110" s="3149"/>
      <c r="AG110" s="3149"/>
      <c r="AH110" s="3149"/>
      <c r="AI110" s="3149"/>
      <c r="AJ110" s="3149"/>
      <c r="AK110" s="3149"/>
      <c r="AL110" s="3154">
        <v>43814</v>
      </c>
      <c r="AM110" s="3149"/>
      <c r="AN110" s="3149"/>
      <c r="AO110" s="3149"/>
      <c r="AP110" s="3149"/>
      <c r="AQ110" s="3149"/>
      <c r="AR110" s="3149"/>
      <c r="AS110" s="3149"/>
      <c r="AT110" s="3149"/>
    </row>
    <row r="111" spans="1:46" ht="33.75">
      <c r="A111" s="3149">
        <v>103</v>
      </c>
      <c r="B111" s="3149" t="s">
        <v>3488</v>
      </c>
      <c r="C111" s="3149" t="s">
        <v>3489</v>
      </c>
      <c r="D111" s="3149" t="s">
        <v>3490</v>
      </c>
      <c r="E111" s="3149" t="s">
        <v>3557</v>
      </c>
      <c r="F111" s="3149" t="s">
        <v>3546</v>
      </c>
      <c r="G111" s="3149" t="s">
        <v>3508</v>
      </c>
      <c r="H111" s="3149" t="s">
        <v>3494</v>
      </c>
      <c r="I111" s="3149" t="s">
        <v>113</v>
      </c>
      <c r="J111" s="3149" t="s">
        <v>3389</v>
      </c>
      <c r="K111" s="3149" t="s">
        <v>3496</v>
      </c>
      <c r="L111" s="3150">
        <v>113.89</v>
      </c>
      <c r="M111" s="3150">
        <v>92.93</v>
      </c>
      <c r="N111" s="3161">
        <v>113.89</v>
      </c>
      <c r="O111" s="3150">
        <v>92.93</v>
      </c>
      <c r="P111" s="3151">
        <v>10585.85</v>
      </c>
      <c r="Q111" s="3151">
        <v>12973.45</v>
      </c>
      <c r="R111" s="3151">
        <v>1205623</v>
      </c>
      <c r="S111" s="3151">
        <v>11724.5412</v>
      </c>
      <c r="T111" s="3151">
        <v>14368.965899999999</v>
      </c>
      <c r="U111" s="3151">
        <v>1335308</v>
      </c>
      <c r="V111" s="3151">
        <v>10585.85</v>
      </c>
      <c r="W111" s="3151">
        <v>12973.45</v>
      </c>
      <c r="X111" s="3151">
        <v>1205623</v>
      </c>
      <c r="Y111" s="3152">
        <v>1205623</v>
      </c>
      <c r="Z111" s="3152">
        <v>0</v>
      </c>
      <c r="AA111" s="3153"/>
      <c r="AB111" s="3151">
        <v>1205623</v>
      </c>
      <c r="AC111" s="3154">
        <v>43819</v>
      </c>
      <c r="AD111" s="3154">
        <v>43915.685597453703</v>
      </c>
      <c r="AE111" s="3154">
        <v>43847.467454201389</v>
      </c>
      <c r="AF111" s="3154">
        <v>43974</v>
      </c>
      <c r="AG111" s="3154">
        <v>43974</v>
      </c>
      <c r="AH111" s="3154">
        <v>43980</v>
      </c>
      <c r="AI111" s="3154">
        <v>43992</v>
      </c>
      <c r="AJ111" s="3154">
        <v>44834</v>
      </c>
      <c r="AK111" s="3149"/>
      <c r="AL111" s="3154">
        <v>43814</v>
      </c>
      <c r="AM111" s="3149" t="s">
        <v>3416</v>
      </c>
      <c r="AN111" s="3149" t="s">
        <v>3611</v>
      </c>
      <c r="AO111" s="3149" t="s">
        <v>3591</v>
      </c>
      <c r="AP111" s="3149" t="s">
        <v>3499</v>
      </c>
      <c r="AQ111" s="3149" t="s">
        <v>3499</v>
      </c>
      <c r="AR111" s="3149" t="s">
        <v>3505</v>
      </c>
      <c r="AS111" s="3149" t="s">
        <v>3506</v>
      </c>
      <c r="AT111" s="3149" t="s">
        <v>3507</v>
      </c>
    </row>
    <row r="112" spans="1:46" ht="33.75">
      <c r="A112" s="3149">
        <v>104</v>
      </c>
      <c r="B112" s="3149" t="s">
        <v>3488</v>
      </c>
      <c r="C112" s="3149" t="s">
        <v>3489</v>
      </c>
      <c r="D112" s="3149" t="s">
        <v>3490</v>
      </c>
      <c r="E112" s="3149" t="s">
        <v>3557</v>
      </c>
      <c r="F112" s="3149" t="s">
        <v>3546</v>
      </c>
      <c r="G112" s="3149" t="s">
        <v>3510</v>
      </c>
      <c r="H112" s="3149" t="s">
        <v>3494</v>
      </c>
      <c r="I112" s="3149" t="s">
        <v>113</v>
      </c>
      <c r="J112" s="3149" t="s">
        <v>3389</v>
      </c>
      <c r="K112" s="3149" t="s">
        <v>3496</v>
      </c>
      <c r="L112" s="3150">
        <v>113.89</v>
      </c>
      <c r="M112" s="3150">
        <v>92.93</v>
      </c>
      <c r="N112" s="3161">
        <v>113.89</v>
      </c>
      <c r="O112" s="3150">
        <v>92.93</v>
      </c>
      <c r="P112" s="3151">
        <v>8500</v>
      </c>
      <c r="Q112" s="3151">
        <v>10417.14</v>
      </c>
      <c r="R112" s="3151">
        <v>968065</v>
      </c>
      <c r="S112" s="3151">
        <v>11074.563200000001</v>
      </c>
      <c r="T112" s="3151">
        <v>13572.3878</v>
      </c>
      <c r="U112" s="3151">
        <v>1261282</v>
      </c>
      <c r="V112" s="3151">
        <v>8500</v>
      </c>
      <c r="W112" s="3151">
        <v>10417.14</v>
      </c>
      <c r="X112" s="3151">
        <v>968065</v>
      </c>
      <c r="Y112" s="3152">
        <v>968065</v>
      </c>
      <c r="Z112" s="3152">
        <v>0</v>
      </c>
      <c r="AA112" s="3153"/>
      <c r="AB112" s="3151">
        <v>968065</v>
      </c>
      <c r="AC112" s="3154">
        <v>43819</v>
      </c>
      <c r="AD112" s="3154">
        <v>44370.586481284721</v>
      </c>
      <c r="AE112" s="3154">
        <v>43847.467454201389</v>
      </c>
      <c r="AF112" s="3154">
        <v>44370</v>
      </c>
      <c r="AG112" s="3154">
        <v>44370</v>
      </c>
      <c r="AH112" s="3154">
        <v>44378</v>
      </c>
      <c r="AI112" s="3149"/>
      <c r="AJ112" s="3154">
        <v>44834</v>
      </c>
      <c r="AK112" s="3149"/>
      <c r="AL112" s="3154">
        <v>43814</v>
      </c>
      <c r="AM112" s="3149" t="s">
        <v>3416</v>
      </c>
      <c r="AN112" s="3149" t="s">
        <v>3612</v>
      </c>
      <c r="AO112" s="3149" t="s">
        <v>3540</v>
      </c>
      <c r="AP112" s="3149" t="s">
        <v>3499</v>
      </c>
      <c r="AQ112" s="3149" t="s">
        <v>3499</v>
      </c>
      <c r="AR112" s="3149" t="s">
        <v>3500</v>
      </c>
      <c r="AS112" s="3149" t="s">
        <v>3501</v>
      </c>
      <c r="AT112" s="3149"/>
    </row>
    <row r="113" spans="1:46" ht="33.75">
      <c r="A113" s="3149">
        <v>105</v>
      </c>
      <c r="B113" s="3149" t="s">
        <v>3488</v>
      </c>
      <c r="C113" s="3149" t="s">
        <v>3489</v>
      </c>
      <c r="D113" s="3149" t="s">
        <v>3490</v>
      </c>
      <c r="E113" s="3149" t="s">
        <v>3557</v>
      </c>
      <c r="F113" s="3149" t="s">
        <v>3546</v>
      </c>
      <c r="G113" s="3149" t="s">
        <v>3511</v>
      </c>
      <c r="H113" s="3149" t="s">
        <v>3494</v>
      </c>
      <c r="I113" s="3149" t="s">
        <v>113</v>
      </c>
      <c r="J113" s="3149" t="s">
        <v>3389</v>
      </c>
      <c r="K113" s="3149" t="s">
        <v>3496</v>
      </c>
      <c r="L113" s="3150">
        <v>113.89</v>
      </c>
      <c r="M113" s="3150">
        <v>92.93</v>
      </c>
      <c r="N113" s="3161">
        <v>113.89</v>
      </c>
      <c r="O113" s="3150">
        <v>92.93</v>
      </c>
      <c r="P113" s="3151">
        <v>10633.35</v>
      </c>
      <c r="Q113" s="3151">
        <v>13031.66</v>
      </c>
      <c r="R113" s="3151">
        <v>1211032</v>
      </c>
      <c r="S113" s="3151">
        <v>11777.1446</v>
      </c>
      <c r="T113" s="3151">
        <v>14433.433800000001</v>
      </c>
      <c r="U113" s="3151">
        <v>1341299</v>
      </c>
      <c r="V113" s="3151">
        <v>10101.68</v>
      </c>
      <c r="W113" s="3151">
        <v>12380.07</v>
      </c>
      <c r="X113" s="3151">
        <v>1150480</v>
      </c>
      <c r="Y113" s="3152">
        <v>1150480</v>
      </c>
      <c r="Z113" s="3152">
        <v>0</v>
      </c>
      <c r="AA113" s="3153"/>
      <c r="AB113" s="3151">
        <v>1150481</v>
      </c>
      <c r="AC113" s="3154">
        <v>43819</v>
      </c>
      <c r="AD113" s="3154">
        <v>43915.685597453703</v>
      </c>
      <c r="AE113" s="3154">
        <v>43847.467454201389</v>
      </c>
      <c r="AF113" s="3154">
        <v>43917</v>
      </c>
      <c r="AG113" s="3154">
        <v>43917</v>
      </c>
      <c r="AH113" s="3154">
        <v>43944</v>
      </c>
      <c r="AI113" s="3154">
        <v>43956</v>
      </c>
      <c r="AJ113" s="3154">
        <v>44834</v>
      </c>
      <c r="AK113" s="3149"/>
      <c r="AL113" s="3154">
        <v>43814</v>
      </c>
      <c r="AM113" s="3149" t="s">
        <v>3416</v>
      </c>
      <c r="AN113" s="3149" t="s">
        <v>3613</v>
      </c>
      <c r="AO113" s="3149" t="s">
        <v>3614</v>
      </c>
      <c r="AP113" s="3149" t="s">
        <v>3577</v>
      </c>
      <c r="AQ113" s="3149"/>
      <c r="AR113" s="3149"/>
      <c r="AS113" s="3149"/>
      <c r="AT113" s="3149"/>
    </row>
    <row r="114" spans="1:46" ht="33.75">
      <c r="A114" s="3149">
        <v>106</v>
      </c>
      <c r="B114" s="3149" t="s">
        <v>3488</v>
      </c>
      <c r="C114" s="3149" t="s">
        <v>3489</v>
      </c>
      <c r="D114" s="3149" t="s">
        <v>3490</v>
      </c>
      <c r="E114" s="3149" t="s">
        <v>3557</v>
      </c>
      <c r="F114" s="3149" t="s">
        <v>3546</v>
      </c>
      <c r="G114" s="3149" t="s">
        <v>3512</v>
      </c>
      <c r="H114" s="3149" t="s">
        <v>3494</v>
      </c>
      <c r="I114" s="3149" t="s">
        <v>113</v>
      </c>
      <c r="J114" s="3149" t="s">
        <v>3389</v>
      </c>
      <c r="K114" s="3149" t="s">
        <v>3496</v>
      </c>
      <c r="L114" s="3150">
        <v>113.89</v>
      </c>
      <c r="M114" s="3150">
        <v>92.93</v>
      </c>
      <c r="N114" s="3161">
        <v>113.89</v>
      </c>
      <c r="O114" s="3150">
        <v>92.93</v>
      </c>
      <c r="P114" s="3151">
        <v>11392.99</v>
      </c>
      <c r="Q114" s="3151">
        <v>13962.64</v>
      </c>
      <c r="R114" s="3151">
        <v>1297548</v>
      </c>
      <c r="S114" s="3151">
        <v>11987.584500000001</v>
      </c>
      <c r="T114" s="3151">
        <v>14691.337600000001</v>
      </c>
      <c r="U114" s="3151">
        <v>1365266</v>
      </c>
      <c r="V114" s="3151">
        <v>11393</v>
      </c>
      <c r="W114" s="3151">
        <v>13962.65</v>
      </c>
      <c r="X114" s="3151">
        <v>1297549</v>
      </c>
      <c r="Y114" s="3152">
        <v>1297549</v>
      </c>
      <c r="Z114" s="3152">
        <v>0</v>
      </c>
      <c r="AA114" s="3153"/>
      <c r="AB114" s="3151">
        <v>1297549</v>
      </c>
      <c r="AC114" s="3154">
        <v>43819</v>
      </c>
      <c r="AD114" s="3154">
        <v>43847.46574915509</v>
      </c>
      <c r="AE114" s="3154">
        <v>43847.467454201389</v>
      </c>
      <c r="AF114" s="3154">
        <v>43912</v>
      </c>
      <c r="AG114" s="3154">
        <v>43912</v>
      </c>
      <c r="AH114" s="3149"/>
      <c r="AI114" s="3149"/>
      <c r="AJ114" s="3154">
        <v>44834</v>
      </c>
      <c r="AK114" s="3149"/>
      <c r="AL114" s="3154">
        <v>43814</v>
      </c>
      <c r="AM114" s="3149" t="s">
        <v>3416</v>
      </c>
      <c r="AN114" s="3149" t="s">
        <v>3615</v>
      </c>
      <c r="AO114" s="3149" t="s">
        <v>3498</v>
      </c>
      <c r="AP114" s="3149" t="s">
        <v>3499</v>
      </c>
      <c r="AQ114" s="3149" t="s">
        <v>3499</v>
      </c>
      <c r="AR114" s="3149"/>
      <c r="AS114" s="3149"/>
      <c r="AT114" s="3149"/>
    </row>
    <row r="115" spans="1:46" ht="33.75">
      <c r="A115" s="3149">
        <v>107</v>
      </c>
      <c r="B115" s="3149" t="s">
        <v>3488</v>
      </c>
      <c r="C115" s="3149" t="s">
        <v>3489</v>
      </c>
      <c r="D115" s="3149" t="s">
        <v>3490</v>
      </c>
      <c r="E115" s="3149" t="s">
        <v>3557</v>
      </c>
      <c r="F115" s="3149" t="s">
        <v>3546</v>
      </c>
      <c r="G115" s="3149" t="s">
        <v>3513</v>
      </c>
      <c r="H115" s="3149" t="s">
        <v>3494</v>
      </c>
      <c r="I115" s="3149" t="s">
        <v>113</v>
      </c>
      <c r="J115" s="3149" t="s">
        <v>3389</v>
      </c>
      <c r="K115" s="3149" t="s">
        <v>3496</v>
      </c>
      <c r="L115" s="3150">
        <v>113.89</v>
      </c>
      <c r="M115" s="3150">
        <v>92.93</v>
      </c>
      <c r="N115" s="3161">
        <v>113.89</v>
      </c>
      <c r="O115" s="3150">
        <v>92.93</v>
      </c>
      <c r="P115" s="3151">
        <v>11243</v>
      </c>
      <c r="Q115" s="3151">
        <v>13778.81</v>
      </c>
      <c r="R115" s="3151">
        <v>1280465</v>
      </c>
      <c r="S115" s="3151">
        <v>11829.756799999999</v>
      </c>
      <c r="T115" s="3151">
        <v>14497.912399999999</v>
      </c>
      <c r="U115" s="3151">
        <v>1347291</v>
      </c>
      <c r="V115" s="3151">
        <v>11243</v>
      </c>
      <c r="W115" s="3151">
        <v>13778.81</v>
      </c>
      <c r="X115" s="3151">
        <v>1280465</v>
      </c>
      <c r="Y115" s="3152">
        <v>1280465</v>
      </c>
      <c r="Z115" s="3152">
        <v>0</v>
      </c>
      <c r="AA115" s="3153"/>
      <c r="AB115" s="3151">
        <v>0</v>
      </c>
      <c r="AC115" s="3154">
        <v>43819</v>
      </c>
      <c r="AD115" s="3154">
        <v>43847.46574915509</v>
      </c>
      <c r="AE115" s="3154">
        <v>43847.467454201389</v>
      </c>
      <c r="AF115" s="3154">
        <v>43865</v>
      </c>
      <c r="AG115" s="3154">
        <v>43902</v>
      </c>
      <c r="AH115" s="3154">
        <v>43937</v>
      </c>
      <c r="AI115" s="3154">
        <v>43949</v>
      </c>
      <c r="AJ115" s="3154">
        <v>44834</v>
      </c>
      <c r="AK115" s="3149"/>
      <c r="AL115" s="3154">
        <v>43814</v>
      </c>
      <c r="AM115" s="3149" t="s">
        <v>3416</v>
      </c>
      <c r="AN115" s="3149" t="s">
        <v>3616</v>
      </c>
      <c r="AO115" s="3149" t="s">
        <v>3591</v>
      </c>
      <c r="AP115" s="3149" t="s">
        <v>3499</v>
      </c>
      <c r="AQ115" s="3149" t="s">
        <v>3499</v>
      </c>
      <c r="AR115" s="3149"/>
      <c r="AS115" s="3149"/>
      <c r="AT115" s="3149"/>
    </row>
    <row r="116" spans="1:46" ht="33.75">
      <c r="A116" s="3149">
        <v>108</v>
      </c>
      <c r="B116" s="3149" t="s">
        <v>3488</v>
      </c>
      <c r="C116" s="3149" t="s">
        <v>3489</v>
      </c>
      <c r="D116" s="3149" t="s">
        <v>3490</v>
      </c>
      <c r="E116" s="3149" t="s">
        <v>3557</v>
      </c>
      <c r="F116" s="3149" t="s">
        <v>3546</v>
      </c>
      <c r="G116" s="3149" t="s">
        <v>3514</v>
      </c>
      <c r="H116" s="3149" t="s">
        <v>3494</v>
      </c>
      <c r="I116" s="3149" t="s">
        <v>113</v>
      </c>
      <c r="J116" s="3149" t="s">
        <v>3389</v>
      </c>
      <c r="K116" s="3149" t="s">
        <v>3496</v>
      </c>
      <c r="L116" s="3150">
        <v>113.89</v>
      </c>
      <c r="M116" s="3150">
        <v>92.93</v>
      </c>
      <c r="N116" s="3161">
        <v>113.89</v>
      </c>
      <c r="O116" s="3150">
        <v>92.93</v>
      </c>
      <c r="P116" s="3151">
        <v>11443</v>
      </c>
      <c r="Q116" s="3151">
        <v>14023.92</v>
      </c>
      <c r="R116" s="3151">
        <v>1303243</v>
      </c>
      <c r="S116" s="3151">
        <v>12040.1967</v>
      </c>
      <c r="T116" s="3151">
        <v>14755.816199999999</v>
      </c>
      <c r="U116" s="3151">
        <v>1371258</v>
      </c>
      <c r="V116" s="3151">
        <v>11443.01</v>
      </c>
      <c r="W116" s="3151">
        <v>14023.93</v>
      </c>
      <c r="X116" s="3151">
        <v>1303244</v>
      </c>
      <c r="Y116" s="3152">
        <v>1303244</v>
      </c>
      <c r="Z116" s="3152">
        <v>0</v>
      </c>
      <c r="AA116" s="3153"/>
      <c r="AB116" s="3151">
        <v>0</v>
      </c>
      <c r="AC116" s="3154">
        <v>43819</v>
      </c>
      <c r="AD116" s="3154">
        <v>43847.46574915509</v>
      </c>
      <c r="AE116" s="3154">
        <v>43847.467454201389</v>
      </c>
      <c r="AF116" s="3154">
        <v>43865</v>
      </c>
      <c r="AG116" s="3154">
        <v>43902</v>
      </c>
      <c r="AH116" s="3154">
        <v>43937</v>
      </c>
      <c r="AI116" s="3154">
        <v>43944</v>
      </c>
      <c r="AJ116" s="3154">
        <v>44834</v>
      </c>
      <c r="AK116" s="3149"/>
      <c r="AL116" s="3154">
        <v>43814</v>
      </c>
      <c r="AM116" s="3149" t="s">
        <v>3416</v>
      </c>
      <c r="AN116" s="3149" t="s">
        <v>3617</v>
      </c>
      <c r="AO116" s="3149" t="s">
        <v>3591</v>
      </c>
      <c r="AP116" s="3149" t="s">
        <v>3499</v>
      </c>
      <c r="AQ116" s="3149" t="s">
        <v>3499</v>
      </c>
      <c r="AR116" s="3149"/>
      <c r="AS116" s="3149"/>
      <c r="AT116" s="3149"/>
    </row>
    <row r="117" spans="1:46" ht="33.75">
      <c r="A117" s="3149">
        <v>109</v>
      </c>
      <c r="B117" s="3149" t="s">
        <v>3488</v>
      </c>
      <c r="C117" s="3149" t="s">
        <v>3489</v>
      </c>
      <c r="D117" s="3149" t="s">
        <v>3490</v>
      </c>
      <c r="E117" s="3149" t="s">
        <v>3557</v>
      </c>
      <c r="F117" s="3149" t="s">
        <v>3546</v>
      </c>
      <c r="G117" s="3149" t="s">
        <v>3515</v>
      </c>
      <c r="H117" s="3149" t="s">
        <v>3494</v>
      </c>
      <c r="I117" s="3149" t="s">
        <v>113</v>
      </c>
      <c r="J117" s="3149" t="s">
        <v>3389</v>
      </c>
      <c r="K117" s="3149" t="s">
        <v>3496</v>
      </c>
      <c r="L117" s="3150">
        <v>113.89</v>
      </c>
      <c r="M117" s="3150">
        <v>92.93</v>
      </c>
      <c r="N117" s="3161">
        <v>113.89</v>
      </c>
      <c r="O117" s="3150">
        <v>92.93</v>
      </c>
      <c r="P117" s="3151">
        <v>9999</v>
      </c>
      <c r="Q117" s="3151">
        <v>12254.23</v>
      </c>
      <c r="R117" s="3151">
        <v>1138786</v>
      </c>
      <c r="S117" s="3151">
        <v>11934.981100000001</v>
      </c>
      <c r="T117" s="3151">
        <v>14626.869699999999</v>
      </c>
      <c r="U117" s="3151">
        <v>1359275</v>
      </c>
      <c r="V117" s="3151">
        <v>9999</v>
      </c>
      <c r="W117" s="3151">
        <v>12254.23</v>
      </c>
      <c r="X117" s="3151">
        <v>1138786</v>
      </c>
      <c r="Y117" s="3152">
        <v>1138786</v>
      </c>
      <c r="Z117" s="3152">
        <v>0</v>
      </c>
      <c r="AA117" s="3153"/>
      <c r="AB117" s="3151">
        <v>1138786</v>
      </c>
      <c r="AC117" s="3154">
        <v>43819</v>
      </c>
      <c r="AD117" s="3154">
        <v>44081.738156053238</v>
      </c>
      <c r="AE117" s="3154">
        <v>43847.467454201389</v>
      </c>
      <c r="AF117" s="3154">
        <v>44098</v>
      </c>
      <c r="AG117" s="3154">
        <v>44104</v>
      </c>
      <c r="AH117" s="3154">
        <v>44144</v>
      </c>
      <c r="AI117" s="3154">
        <v>44154</v>
      </c>
      <c r="AJ117" s="3154">
        <v>44834</v>
      </c>
      <c r="AK117" s="3149"/>
      <c r="AL117" s="3154">
        <v>43814</v>
      </c>
      <c r="AM117" s="3149" t="s">
        <v>3416</v>
      </c>
      <c r="AN117" s="3149" t="s">
        <v>3618</v>
      </c>
      <c r="AO117" s="3149" t="s">
        <v>3498</v>
      </c>
      <c r="AP117" s="3149" t="s">
        <v>3499</v>
      </c>
      <c r="AQ117" s="3149" t="s">
        <v>3499</v>
      </c>
      <c r="AR117" s="3149" t="s">
        <v>3500</v>
      </c>
      <c r="AS117" s="3149" t="s">
        <v>3501</v>
      </c>
      <c r="AT117" s="3149"/>
    </row>
    <row r="118" spans="1:46" ht="33.75">
      <c r="A118" s="3149">
        <v>110</v>
      </c>
      <c r="B118" s="3149" t="s">
        <v>3488</v>
      </c>
      <c r="C118" s="3149" t="s">
        <v>3489</v>
      </c>
      <c r="D118" s="3149" t="s">
        <v>3490</v>
      </c>
      <c r="E118" s="3149" t="s">
        <v>3557</v>
      </c>
      <c r="F118" s="3149" t="s">
        <v>3546</v>
      </c>
      <c r="G118" s="3149" t="s">
        <v>3521</v>
      </c>
      <c r="H118" s="3149" t="s">
        <v>3509</v>
      </c>
      <c r="I118" s="3149" t="s">
        <v>113</v>
      </c>
      <c r="J118" s="3149" t="s">
        <v>3389</v>
      </c>
      <c r="K118" s="3149" t="s">
        <v>3496</v>
      </c>
      <c r="L118" s="3150">
        <v>113.89</v>
      </c>
      <c r="M118" s="3150">
        <v>92.93</v>
      </c>
      <c r="N118" s="3161">
        <v>113.89</v>
      </c>
      <c r="O118" s="3150">
        <v>92.93</v>
      </c>
      <c r="P118" s="3151">
        <v>5500</v>
      </c>
      <c r="Q118" s="3151">
        <v>6740.5</v>
      </c>
      <c r="R118" s="3151">
        <v>626395</v>
      </c>
      <c r="S118" s="3151">
        <v>5500</v>
      </c>
      <c r="T118" s="3151">
        <v>6740.5036</v>
      </c>
      <c r="U118" s="3151">
        <v>626395</v>
      </c>
      <c r="V118" s="3153"/>
      <c r="W118" s="3153"/>
      <c r="X118" s="3153"/>
      <c r="Y118" s="3153"/>
      <c r="Z118" s="3152">
        <v>0</v>
      </c>
      <c r="AA118" s="3153"/>
      <c r="AB118" s="3151">
        <v>0</v>
      </c>
      <c r="AC118" s="3154">
        <v>43819</v>
      </c>
      <c r="AD118" s="3154">
        <v>45264.773614039354</v>
      </c>
      <c r="AE118" s="3154">
        <v>43847.467454201389</v>
      </c>
      <c r="AF118" s="3149"/>
      <c r="AG118" s="3149"/>
      <c r="AH118" s="3149"/>
      <c r="AI118" s="3149"/>
      <c r="AJ118" s="3149"/>
      <c r="AK118" s="3149"/>
      <c r="AL118" s="3154">
        <v>43814</v>
      </c>
      <c r="AM118" s="3149"/>
      <c r="AN118" s="3149"/>
      <c r="AO118" s="3149"/>
      <c r="AP118" s="3149"/>
      <c r="AQ118" s="3149"/>
      <c r="AR118" s="3149"/>
      <c r="AS118" s="3149"/>
      <c r="AT118" s="3149"/>
    </row>
    <row r="119" spans="1:46" ht="33.75">
      <c r="A119" s="3149">
        <v>111</v>
      </c>
      <c r="B119" s="3149" t="s">
        <v>3488</v>
      </c>
      <c r="C119" s="3149" t="s">
        <v>3489</v>
      </c>
      <c r="D119" s="3149" t="s">
        <v>3490</v>
      </c>
      <c r="E119" s="3149" t="s">
        <v>3557</v>
      </c>
      <c r="F119" s="3149" t="s">
        <v>3546</v>
      </c>
      <c r="G119" s="3149" t="s">
        <v>3522</v>
      </c>
      <c r="H119" s="3149" t="s">
        <v>3494</v>
      </c>
      <c r="I119" s="3149" t="s">
        <v>113</v>
      </c>
      <c r="J119" s="3149" t="s">
        <v>3389</v>
      </c>
      <c r="K119" s="3149" t="s">
        <v>3496</v>
      </c>
      <c r="L119" s="3150">
        <v>113.89</v>
      </c>
      <c r="M119" s="3150">
        <v>92.93</v>
      </c>
      <c r="N119" s="3161">
        <v>113.89</v>
      </c>
      <c r="O119" s="3150">
        <v>92.93</v>
      </c>
      <c r="P119" s="3151">
        <v>10327.31</v>
      </c>
      <c r="Q119" s="3151">
        <v>12656.59</v>
      </c>
      <c r="R119" s="3151">
        <v>1176177</v>
      </c>
      <c r="S119" s="3151">
        <v>12040.1967</v>
      </c>
      <c r="T119" s="3151">
        <v>14755.816199999999</v>
      </c>
      <c r="U119" s="3151">
        <v>1371258</v>
      </c>
      <c r="V119" s="3151">
        <v>10327.31</v>
      </c>
      <c r="W119" s="3151">
        <v>12656.59</v>
      </c>
      <c r="X119" s="3151">
        <v>1176177</v>
      </c>
      <c r="Y119" s="3152">
        <v>1176177</v>
      </c>
      <c r="Z119" s="3152">
        <v>0</v>
      </c>
      <c r="AA119" s="3153"/>
      <c r="AB119" s="3151">
        <v>1176177</v>
      </c>
      <c r="AC119" s="3154">
        <v>43819</v>
      </c>
      <c r="AD119" s="3154">
        <v>44070.394818946756</v>
      </c>
      <c r="AE119" s="3154">
        <v>43847.467454201389</v>
      </c>
      <c r="AF119" s="3149"/>
      <c r="AG119" s="3154">
        <v>44070.648379629631</v>
      </c>
      <c r="AH119" s="3154">
        <v>44097</v>
      </c>
      <c r="AI119" s="3154">
        <v>44103</v>
      </c>
      <c r="AJ119" s="3154">
        <v>44834</v>
      </c>
      <c r="AK119" s="3149"/>
      <c r="AL119" s="3154">
        <v>43814</v>
      </c>
      <c r="AM119" s="3149" t="s">
        <v>3416</v>
      </c>
      <c r="AN119" s="3149" t="s">
        <v>3619</v>
      </c>
      <c r="AO119" s="3149" t="s">
        <v>3504</v>
      </c>
      <c r="AP119" s="3149" t="s">
        <v>3499</v>
      </c>
      <c r="AQ119" s="3149" t="s">
        <v>3499</v>
      </c>
      <c r="AR119" s="3149"/>
      <c r="AS119" s="3149"/>
      <c r="AT119" s="3149"/>
    </row>
    <row r="120" spans="1:46" ht="33.75">
      <c r="A120" s="3149">
        <v>112</v>
      </c>
      <c r="B120" s="3149" t="s">
        <v>3488</v>
      </c>
      <c r="C120" s="3149" t="s">
        <v>3489</v>
      </c>
      <c r="D120" s="3149" t="s">
        <v>3490</v>
      </c>
      <c r="E120" s="3149" t="s">
        <v>3557</v>
      </c>
      <c r="F120" s="3149" t="s">
        <v>3546</v>
      </c>
      <c r="G120" s="3149" t="s">
        <v>3523</v>
      </c>
      <c r="H120" s="3149" t="s">
        <v>3494</v>
      </c>
      <c r="I120" s="3149" t="s">
        <v>113</v>
      </c>
      <c r="J120" s="3149" t="s">
        <v>3389</v>
      </c>
      <c r="K120" s="3149" t="s">
        <v>3496</v>
      </c>
      <c r="L120" s="3150">
        <v>113.89</v>
      </c>
      <c r="M120" s="3150">
        <v>92.93</v>
      </c>
      <c r="N120" s="3161">
        <v>113.89</v>
      </c>
      <c r="O120" s="3150">
        <v>92.93</v>
      </c>
      <c r="P120" s="3151">
        <v>11060.86</v>
      </c>
      <c r="Q120" s="3151">
        <v>13555.59</v>
      </c>
      <c r="R120" s="3151">
        <v>1259721</v>
      </c>
      <c r="S120" s="3151">
        <v>12250.6366</v>
      </c>
      <c r="T120" s="3151">
        <v>15013.72</v>
      </c>
      <c r="U120" s="3151">
        <v>1395225</v>
      </c>
      <c r="V120" s="3151">
        <v>11060.86</v>
      </c>
      <c r="W120" s="3151">
        <v>13555.59</v>
      </c>
      <c r="X120" s="3151">
        <v>1259721</v>
      </c>
      <c r="Y120" s="3152">
        <v>1259721</v>
      </c>
      <c r="Z120" s="3152">
        <v>0</v>
      </c>
      <c r="AA120" s="3153"/>
      <c r="AB120" s="3151">
        <v>1259721</v>
      </c>
      <c r="AC120" s="3154">
        <v>43819</v>
      </c>
      <c r="AD120" s="3154">
        <v>44050.574095833334</v>
      </c>
      <c r="AE120" s="3154">
        <v>43847.467454201389</v>
      </c>
      <c r="AF120" s="3154">
        <v>44052</v>
      </c>
      <c r="AG120" s="3154">
        <v>44059</v>
      </c>
      <c r="AH120" s="3154">
        <v>44064</v>
      </c>
      <c r="AI120" s="3154">
        <v>44081</v>
      </c>
      <c r="AJ120" s="3154">
        <v>44834</v>
      </c>
      <c r="AK120" s="3149"/>
      <c r="AL120" s="3154">
        <v>43814</v>
      </c>
      <c r="AM120" s="3149" t="s">
        <v>3416</v>
      </c>
      <c r="AN120" s="3149" t="s">
        <v>3620</v>
      </c>
      <c r="AO120" s="3149" t="s">
        <v>3498</v>
      </c>
      <c r="AP120" s="3149" t="s">
        <v>3499</v>
      </c>
      <c r="AQ120" s="3149" t="s">
        <v>3499</v>
      </c>
      <c r="AR120" s="3149" t="s">
        <v>3500</v>
      </c>
      <c r="AS120" s="3149" t="s">
        <v>3501</v>
      </c>
      <c r="AT120" s="3149"/>
    </row>
    <row r="121" spans="1:46" ht="33.75">
      <c r="A121" s="3149">
        <v>113</v>
      </c>
      <c r="B121" s="3149" t="s">
        <v>3488</v>
      </c>
      <c r="C121" s="3149" t="s">
        <v>3489</v>
      </c>
      <c r="D121" s="3149" t="s">
        <v>3490</v>
      </c>
      <c r="E121" s="3149" t="s">
        <v>3557</v>
      </c>
      <c r="F121" s="3149" t="s">
        <v>3546</v>
      </c>
      <c r="G121" s="3149" t="s">
        <v>3525</v>
      </c>
      <c r="H121" s="3149" t="s">
        <v>3494</v>
      </c>
      <c r="I121" s="3149" t="s">
        <v>113</v>
      </c>
      <c r="J121" s="3149" t="s">
        <v>3389</v>
      </c>
      <c r="K121" s="3149" t="s">
        <v>3496</v>
      </c>
      <c r="L121" s="3150">
        <v>113.89</v>
      </c>
      <c r="M121" s="3150">
        <v>92.93</v>
      </c>
      <c r="N121" s="3161">
        <v>113.89</v>
      </c>
      <c r="O121" s="3150">
        <v>92.93</v>
      </c>
      <c r="P121" s="3151">
        <v>10417.57</v>
      </c>
      <c r="Q121" s="3151">
        <v>12767.21</v>
      </c>
      <c r="R121" s="3151">
        <v>1186457</v>
      </c>
      <c r="S121" s="3151">
        <v>12145.421</v>
      </c>
      <c r="T121" s="3151">
        <v>14884.773499999999</v>
      </c>
      <c r="U121" s="3151">
        <v>1383242</v>
      </c>
      <c r="V121" s="3151">
        <v>10417.57</v>
      </c>
      <c r="W121" s="3151">
        <v>12767.21</v>
      </c>
      <c r="X121" s="3151">
        <v>1186457</v>
      </c>
      <c r="Y121" s="3152">
        <v>1186457</v>
      </c>
      <c r="Z121" s="3152">
        <v>0</v>
      </c>
      <c r="AA121" s="3153"/>
      <c r="AB121" s="3151">
        <v>1186457</v>
      </c>
      <c r="AC121" s="3154">
        <v>43819</v>
      </c>
      <c r="AD121" s="3154">
        <v>44096.391653969906</v>
      </c>
      <c r="AE121" s="3154">
        <v>43847.467454201389</v>
      </c>
      <c r="AF121" s="3154">
        <v>44096</v>
      </c>
      <c r="AG121" s="3154">
        <v>44097</v>
      </c>
      <c r="AH121" s="3154">
        <v>44098</v>
      </c>
      <c r="AI121" s="3154">
        <v>44103</v>
      </c>
      <c r="AJ121" s="3154">
        <v>44834</v>
      </c>
      <c r="AK121" s="3149"/>
      <c r="AL121" s="3154">
        <v>43814</v>
      </c>
      <c r="AM121" s="3149" t="s">
        <v>3416</v>
      </c>
      <c r="AN121" s="3149" t="s">
        <v>3621</v>
      </c>
      <c r="AO121" s="3149" t="s">
        <v>3622</v>
      </c>
      <c r="AP121" s="3149" t="s">
        <v>3499</v>
      </c>
      <c r="AQ121" s="3149" t="s">
        <v>3499</v>
      </c>
      <c r="AR121" s="3149" t="s">
        <v>3500</v>
      </c>
      <c r="AS121" s="3149" t="s">
        <v>3501</v>
      </c>
      <c r="AT121" s="3149"/>
    </row>
    <row r="122" spans="1:46" ht="33.75">
      <c r="A122" s="3149">
        <v>114</v>
      </c>
      <c r="B122" s="3149" t="s">
        <v>3488</v>
      </c>
      <c r="C122" s="3149" t="s">
        <v>3489</v>
      </c>
      <c r="D122" s="3149" t="s">
        <v>3490</v>
      </c>
      <c r="E122" s="3149" t="s">
        <v>3557</v>
      </c>
      <c r="F122" s="3149" t="s">
        <v>3546</v>
      </c>
      <c r="G122" s="3149" t="s">
        <v>3528</v>
      </c>
      <c r="H122" s="3149" t="s">
        <v>3494</v>
      </c>
      <c r="I122" s="3149" t="s">
        <v>113</v>
      </c>
      <c r="J122" s="3149" t="s">
        <v>3389</v>
      </c>
      <c r="K122" s="3149" t="s">
        <v>3496</v>
      </c>
      <c r="L122" s="3150">
        <v>113.89</v>
      </c>
      <c r="M122" s="3150">
        <v>92.93</v>
      </c>
      <c r="N122" s="3161">
        <v>113.89</v>
      </c>
      <c r="O122" s="3150">
        <v>92.93</v>
      </c>
      <c r="P122" s="3151">
        <v>10598.06</v>
      </c>
      <c r="Q122" s="3151">
        <v>12988.41</v>
      </c>
      <c r="R122" s="3151">
        <v>1207013</v>
      </c>
      <c r="S122" s="3151">
        <v>12355.8521</v>
      </c>
      <c r="T122" s="3151">
        <v>15142.666499999999</v>
      </c>
      <c r="U122" s="3151">
        <v>1407208</v>
      </c>
      <c r="V122" s="3151">
        <v>10598.06</v>
      </c>
      <c r="W122" s="3151">
        <v>12988.41</v>
      </c>
      <c r="X122" s="3151">
        <v>1207013</v>
      </c>
      <c r="Y122" s="3152">
        <v>1207013</v>
      </c>
      <c r="Z122" s="3152">
        <v>0</v>
      </c>
      <c r="AA122" s="3153"/>
      <c r="AB122" s="3151">
        <v>1207013</v>
      </c>
      <c r="AC122" s="3154">
        <v>43819</v>
      </c>
      <c r="AD122" s="3154">
        <v>44070.394818946756</v>
      </c>
      <c r="AE122" s="3154">
        <v>43847.467454201389</v>
      </c>
      <c r="AF122" s="3154">
        <v>44070</v>
      </c>
      <c r="AG122" s="3154">
        <v>44070</v>
      </c>
      <c r="AH122" s="3154">
        <v>44096</v>
      </c>
      <c r="AI122" s="3154">
        <v>44103</v>
      </c>
      <c r="AJ122" s="3154">
        <v>44834</v>
      </c>
      <c r="AK122" s="3149"/>
      <c r="AL122" s="3154">
        <v>43814</v>
      </c>
      <c r="AM122" s="3149" t="s">
        <v>3416</v>
      </c>
      <c r="AN122" s="3149" t="s">
        <v>3623</v>
      </c>
      <c r="AO122" s="3149" t="s">
        <v>3527</v>
      </c>
      <c r="AP122" s="3149" t="s">
        <v>3499</v>
      </c>
      <c r="AQ122" s="3149" t="s">
        <v>3499</v>
      </c>
      <c r="AR122" s="3149" t="s">
        <v>3566</v>
      </c>
      <c r="AS122" s="3149" t="s">
        <v>3519</v>
      </c>
      <c r="AT122" s="3149"/>
    </row>
    <row r="123" spans="1:46" ht="33.75">
      <c r="A123" s="3149">
        <v>115</v>
      </c>
      <c r="B123" s="3149" t="s">
        <v>3488</v>
      </c>
      <c r="C123" s="3149" t="s">
        <v>3489</v>
      </c>
      <c r="D123" s="3149" t="s">
        <v>3490</v>
      </c>
      <c r="E123" s="3149" t="s">
        <v>3557</v>
      </c>
      <c r="F123" s="3149" t="s">
        <v>3546</v>
      </c>
      <c r="G123" s="3149" t="s">
        <v>3529</v>
      </c>
      <c r="H123" s="3149" t="s">
        <v>3494</v>
      </c>
      <c r="I123" s="3149" t="s">
        <v>113</v>
      </c>
      <c r="J123" s="3149" t="s">
        <v>3389</v>
      </c>
      <c r="K123" s="3149" t="s">
        <v>3496</v>
      </c>
      <c r="L123" s="3150">
        <v>113.89</v>
      </c>
      <c r="M123" s="3150">
        <v>92.93</v>
      </c>
      <c r="N123" s="3161">
        <v>113.89</v>
      </c>
      <c r="O123" s="3150">
        <v>92.93</v>
      </c>
      <c r="P123" s="3151">
        <v>11643</v>
      </c>
      <c r="Q123" s="3151">
        <v>14269.03</v>
      </c>
      <c r="R123" s="3151">
        <v>1326021</v>
      </c>
      <c r="S123" s="3151">
        <v>12250.6366</v>
      </c>
      <c r="T123" s="3151">
        <v>15013.72</v>
      </c>
      <c r="U123" s="3151">
        <v>1395225</v>
      </c>
      <c r="V123" s="3151">
        <v>11643.01</v>
      </c>
      <c r="W123" s="3151">
        <v>14269.04</v>
      </c>
      <c r="X123" s="3151">
        <v>1326022</v>
      </c>
      <c r="Y123" s="3152">
        <v>1326022</v>
      </c>
      <c r="Z123" s="3152">
        <v>0</v>
      </c>
      <c r="AA123" s="3153"/>
      <c r="AB123" s="3151">
        <v>1326022</v>
      </c>
      <c r="AC123" s="3154">
        <v>43819</v>
      </c>
      <c r="AD123" s="3154">
        <v>43847.46574915509</v>
      </c>
      <c r="AE123" s="3154">
        <v>43847.467454201389</v>
      </c>
      <c r="AF123" s="3154">
        <v>43952</v>
      </c>
      <c r="AG123" s="3154">
        <v>43965</v>
      </c>
      <c r="AH123" s="3154">
        <v>44075</v>
      </c>
      <c r="AI123" s="3154">
        <v>44081</v>
      </c>
      <c r="AJ123" s="3154">
        <v>44834</v>
      </c>
      <c r="AK123" s="3149"/>
      <c r="AL123" s="3154">
        <v>43814</v>
      </c>
      <c r="AM123" s="3149" t="s">
        <v>3416</v>
      </c>
      <c r="AN123" s="3149" t="s">
        <v>3624</v>
      </c>
      <c r="AO123" s="3149" t="s">
        <v>3556</v>
      </c>
      <c r="AP123" s="3149" t="s">
        <v>3499</v>
      </c>
      <c r="AQ123" s="3149" t="s">
        <v>3499</v>
      </c>
      <c r="AR123" s="3149" t="s">
        <v>3505</v>
      </c>
      <c r="AS123" s="3149" t="s">
        <v>3561</v>
      </c>
      <c r="AT123" s="3149" t="s">
        <v>3625</v>
      </c>
    </row>
    <row r="124" spans="1:46" ht="33.75">
      <c r="A124" s="3149">
        <v>116</v>
      </c>
      <c r="B124" s="3149" t="s">
        <v>3488</v>
      </c>
      <c r="C124" s="3149" t="s">
        <v>3489</v>
      </c>
      <c r="D124" s="3149" t="s">
        <v>3490</v>
      </c>
      <c r="E124" s="3149" t="s">
        <v>3557</v>
      </c>
      <c r="F124" s="3149" t="s">
        <v>3546</v>
      </c>
      <c r="G124" s="3149" t="s">
        <v>3530</v>
      </c>
      <c r="H124" s="3149" t="s">
        <v>3494</v>
      </c>
      <c r="I124" s="3149" t="s">
        <v>113</v>
      </c>
      <c r="J124" s="3149" t="s">
        <v>3389</v>
      </c>
      <c r="K124" s="3149" t="s">
        <v>3496</v>
      </c>
      <c r="L124" s="3150">
        <v>113.89</v>
      </c>
      <c r="M124" s="3150">
        <v>92.93</v>
      </c>
      <c r="N124" s="3161">
        <v>113.89</v>
      </c>
      <c r="O124" s="3150">
        <v>92.93</v>
      </c>
      <c r="P124" s="3151">
        <v>11250.86</v>
      </c>
      <c r="Q124" s="3151">
        <v>13788.44</v>
      </c>
      <c r="R124" s="3151">
        <v>1281360</v>
      </c>
      <c r="S124" s="3151">
        <v>12461.076499999999</v>
      </c>
      <c r="T124" s="3151">
        <v>15271.623799999999</v>
      </c>
      <c r="U124" s="3151">
        <v>1419192</v>
      </c>
      <c r="V124" s="3151">
        <v>11783.79</v>
      </c>
      <c r="W124" s="3151">
        <v>14441.58</v>
      </c>
      <c r="X124" s="3151">
        <v>1342056</v>
      </c>
      <c r="Y124" s="3152">
        <v>1342056</v>
      </c>
      <c r="Z124" s="3152">
        <v>0</v>
      </c>
      <c r="AA124" s="3153"/>
      <c r="AB124" s="3151">
        <v>1342056</v>
      </c>
      <c r="AC124" s="3154">
        <v>43819</v>
      </c>
      <c r="AD124" s="3154">
        <v>44050.574095833334</v>
      </c>
      <c r="AE124" s="3154">
        <v>43847.467454201389</v>
      </c>
      <c r="AF124" s="3154">
        <v>44052</v>
      </c>
      <c r="AG124" s="3154">
        <v>44053</v>
      </c>
      <c r="AH124" s="3154">
        <v>44061</v>
      </c>
      <c r="AI124" s="3154">
        <v>44081</v>
      </c>
      <c r="AJ124" s="3154">
        <v>44834</v>
      </c>
      <c r="AK124" s="3149"/>
      <c r="AL124" s="3154">
        <v>43814</v>
      </c>
      <c r="AM124" s="3149" t="s">
        <v>3416</v>
      </c>
      <c r="AN124" s="3149" t="s">
        <v>3626</v>
      </c>
      <c r="AO124" s="3149" t="s">
        <v>3498</v>
      </c>
      <c r="AP124" s="3149" t="s">
        <v>3499</v>
      </c>
      <c r="AQ124" s="3149" t="s">
        <v>3499</v>
      </c>
      <c r="AR124" s="3149" t="s">
        <v>3500</v>
      </c>
      <c r="AS124" s="3149" t="s">
        <v>3501</v>
      </c>
      <c r="AT124" s="3149"/>
    </row>
    <row r="125" spans="1:46" ht="33.75">
      <c r="A125" s="3149">
        <v>117</v>
      </c>
      <c r="B125" s="3149" t="s">
        <v>3488</v>
      </c>
      <c r="C125" s="3149" t="s">
        <v>3489</v>
      </c>
      <c r="D125" s="3149" t="s">
        <v>3490</v>
      </c>
      <c r="E125" s="3149" t="s">
        <v>3557</v>
      </c>
      <c r="F125" s="3149" t="s">
        <v>3546</v>
      </c>
      <c r="G125" s="3149" t="s">
        <v>3532</v>
      </c>
      <c r="H125" s="3149" t="s">
        <v>3494</v>
      </c>
      <c r="I125" s="3149" t="s">
        <v>113</v>
      </c>
      <c r="J125" s="3149" t="s">
        <v>3389</v>
      </c>
      <c r="K125" s="3149" t="s">
        <v>3496</v>
      </c>
      <c r="L125" s="3150">
        <v>113.89</v>
      </c>
      <c r="M125" s="3150">
        <v>92.93</v>
      </c>
      <c r="N125" s="3161">
        <v>113.89</v>
      </c>
      <c r="O125" s="3150">
        <v>92.93</v>
      </c>
      <c r="P125" s="3151">
        <v>9500</v>
      </c>
      <c r="Q125" s="3151">
        <v>11642.69</v>
      </c>
      <c r="R125" s="3151">
        <v>1081955</v>
      </c>
      <c r="S125" s="3151">
        <v>12355.8521</v>
      </c>
      <c r="T125" s="3151">
        <v>15142.666499999999</v>
      </c>
      <c r="U125" s="3151">
        <v>1407208</v>
      </c>
      <c r="V125" s="3151">
        <v>9999</v>
      </c>
      <c r="W125" s="3151">
        <v>12254.23</v>
      </c>
      <c r="X125" s="3151">
        <v>1138786</v>
      </c>
      <c r="Y125" s="3152">
        <v>1138786</v>
      </c>
      <c r="Z125" s="3152">
        <v>0</v>
      </c>
      <c r="AA125" s="3153"/>
      <c r="AB125" s="3151">
        <v>1138786</v>
      </c>
      <c r="AC125" s="3154">
        <v>43819</v>
      </c>
      <c r="AD125" s="3154">
        <v>44102.575221215273</v>
      </c>
      <c r="AE125" s="3154">
        <v>43847.467454201389</v>
      </c>
      <c r="AF125" s="3154">
        <v>44102</v>
      </c>
      <c r="AG125" s="3154">
        <v>44102</v>
      </c>
      <c r="AH125" s="3154">
        <v>44128</v>
      </c>
      <c r="AI125" s="3154">
        <v>44134</v>
      </c>
      <c r="AJ125" s="3154">
        <v>44834</v>
      </c>
      <c r="AK125" s="3149"/>
      <c r="AL125" s="3154">
        <v>43814</v>
      </c>
      <c r="AM125" s="3149" t="s">
        <v>3416</v>
      </c>
      <c r="AN125" s="3149" t="s">
        <v>3627</v>
      </c>
      <c r="AO125" s="3149" t="s">
        <v>3498</v>
      </c>
      <c r="AP125" s="3149" t="s">
        <v>3499</v>
      </c>
      <c r="AQ125" s="3149" t="s">
        <v>3499</v>
      </c>
      <c r="AR125" s="3149" t="s">
        <v>3566</v>
      </c>
      <c r="AS125" s="3149" t="s">
        <v>3519</v>
      </c>
      <c r="AT125" s="3149"/>
    </row>
    <row r="126" spans="1:46" ht="33.75">
      <c r="A126" s="3149">
        <v>118</v>
      </c>
      <c r="B126" s="3149" t="s">
        <v>3488</v>
      </c>
      <c r="C126" s="3149" t="s">
        <v>3489</v>
      </c>
      <c r="D126" s="3149" t="s">
        <v>3490</v>
      </c>
      <c r="E126" s="3149" t="s">
        <v>3557</v>
      </c>
      <c r="F126" s="3149" t="s">
        <v>3546</v>
      </c>
      <c r="G126" s="3149" t="s">
        <v>3534</v>
      </c>
      <c r="H126" s="3149" t="s">
        <v>3494</v>
      </c>
      <c r="I126" s="3149" t="s">
        <v>113</v>
      </c>
      <c r="J126" s="3149" t="s">
        <v>3389</v>
      </c>
      <c r="K126" s="3149" t="s">
        <v>3496</v>
      </c>
      <c r="L126" s="3150">
        <v>113.89</v>
      </c>
      <c r="M126" s="3150">
        <v>92.93</v>
      </c>
      <c r="N126" s="3161">
        <v>113.89</v>
      </c>
      <c r="O126" s="3150">
        <v>92.93</v>
      </c>
      <c r="P126" s="3151">
        <v>11345.85</v>
      </c>
      <c r="Q126" s="3151">
        <v>13904.86</v>
      </c>
      <c r="R126" s="3151">
        <v>1292179</v>
      </c>
      <c r="S126" s="3151">
        <v>12566.291999999999</v>
      </c>
      <c r="T126" s="3151">
        <v>15400.570299999999</v>
      </c>
      <c r="U126" s="3151">
        <v>1431175</v>
      </c>
      <c r="V126" s="3151">
        <v>11345.85</v>
      </c>
      <c r="W126" s="3151">
        <v>13904.86</v>
      </c>
      <c r="X126" s="3151">
        <v>1292179</v>
      </c>
      <c r="Y126" s="3152">
        <v>1292179</v>
      </c>
      <c r="Z126" s="3152">
        <v>0</v>
      </c>
      <c r="AA126" s="3153"/>
      <c r="AB126" s="3151">
        <v>1292179</v>
      </c>
      <c r="AC126" s="3154">
        <v>43819</v>
      </c>
      <c r="AD126" s="3154">
        <v>43915.685597453703</v>
      </c>
      <c r="AE126" s="3154">
        <v>43847.467454201389</v>
      </c>
      <c r="AF126" s="3154">
        <v>44018</v>
      </c>
      <c r="AG126" s="3154">
        <v>44019</v>
      </c>
      <c r="AH126" s="3154">
        <v>44021</v>
      </c>
      <c r="AI126" s="3154">
        <v>44032</v>
      </c>
      <c r="AJ126" s="3154">
        <v>44834</v>
      </c>
      <c r="AK126" s="3149"/>
      <c r="AL126" s="3154">
        <v>43814</v>
      </c>
      <c r="AM126" s="3149" t="s">
        <v>3416</v>
      </c>
      <c r="AN126" s="3149" t="s">
        <v>3628</v>
      </c>
      <c r="AO126" s="3149" t="s">
        <v>3622</v>
      </c>
      <c r="AP126" s="3149" t="s">
        <v>3499</v>
      </c>
      <c r="AQ126" s="3149" t="s">
        <v>3499</v>
      </c>
      <c r="AR126" s="3149" t="s">
        <v>3505</v>
      </c>
      <c r="AS126" s="3149" t="s">
        <v>3506</v>
      </c>
      <c r="AT126" s="3149" t="s">
        <v>3507</v>
      </c>
    </row>
    <row r="127" spans="1:46" ht="33.75">
      <c r="A127" s="3149">
        <v>119</v>
      </c>
      <c r="B127" s="3149" t="s">
        <v>3488</v>
      </c>
      <c r="C127" s="3149" t="s">
        <v>3489</v>
      </c>
      <c r="D127" s="3149" t="s">
        <v>3490</v>
      </c>
      <c r="E127" s="3149" t="s">
        <v>3557</v>
      </c>
      <c r="F127" s="3149" t="s">
        <v>3546</v>
      </c>
      <c r="G127" s="3149" t="s">
        <v>3536</v>
      </c>
      <c r="H127" s="3149" t="s">
        <v>3494</v>
      </c>
      <c r="I127" s="3149" t="s">
        <v>113</v>
      </c>
      <c r="J127" s="3149" t="s">
        <v>3389</v>
      </c>
      <c r="K127" s="3149" t="s">
        <v>3496</v>
      </c>
      <c r="L127" s="3150">
        <v>151.22999999999999</v>
      </c>
      <c r="M127" s="3150">
        <v>123.4</v>
      </c>
      <c r="N127" s="3161">
        <v>151.22999999999999</v>
      </c>
      <c r="O127" s="3150">
        <v>123.4</v>
      </c>
      <c r="P127" s="3151">
        <v>10328.32</v>
      </c>
      <c r="Q127" s="3151">
        <v>12657.63</v>
      </c>
      <c r="R127" s="3151">
        <v>1561952</v>
      </c>
      <c r="S127" s="3151">
        <v>11439.304400000001</v>
      </c>
      <c r="T127" s="3151">
        <v>14019.1734</v>
      </c>
      <c r="U127" s="3151">
        <v>1729966</v>
      </c>
      <c r="V127" s="3151">
        <v>10328.32</v>
      </c>
      <c r="W127" s="3151">
        <v>12657.63</v>
      </c>
      <c r="X127" s="3151">
        <v>1561952</v>
      </c>
      <c r="Y127" s="3152">
        <v>1561952</v>
      </c>
      <c r="Z127" s="3152">
        <v>0</v>
      </c>
      <c r="AA127" s="3153"/>
      <c r="AB127" s="3151">
        <v>1561952</v>
      </c>
      <c r="AC127" s="3154">
        <v>43819</v>
      </c>
      <c r="AD127" s="3154">
        <v>43915.685597453703</v>
      </c>
      <c r="AE127" s="3154">
        <v>43847.467454201389</v>
      </c>
      <c r="AF127" s="3154">
        <v>43936</v>
      </c>
      <c r="AG127" s="3154">
        <v>43939</v>
      </c>
      <c r="AH127" s="3154">
        <v>43944</v>
      </c>
      <c r="AI127" s="3154">
        <v>43955</v>
      </c>
      <c r="AJ127" s="3154">
        <v>44834</v>
      </c>
      <c r="AK127" s="3149"/>
      <c r="AL127" s="3154">
        <v>43814</v>
      </c>
      <c r="AM127" s="3149" t="s">
        <v>3416</v>
      </c>
      <c r="AN127" s="3149" t="s">
        <v>3629</v>
      </c>
      <c r="AO127" s="3149" t="s">
        <v>3606</v>
      </c>
      <c r="AP127" s="3149" t="s">
        <v>3499</v>
      </c>
      <c r="AQ127" s="3149" t="s">
        <v>3499</v>
      </c>
      <c r="AR127" s="3149"/>
      <c r="AS127" s="3149"/>
      <c r="AT127" s="3149"/>
    </row>
    <row r="128" spans="1:46" ht="33.75">
      <c r="A128" s="3149">
        <v>120</v>
      </c>
      <c r="B128" s="3149" t="s">
        <v>3488</v>
      </c>
      <c r="C128" s="3149" t="s">
        <v>3489</v>
      </c>
      <c r="D128" s="3149" t="s">
        <v>3490</v>
      </c>
      <c r="E128" s="3149" t="s">
        <v>3557</v>
      </c>
      <c r="F128" s="3149" t="s">
        <v>3546</v>
      </c>
      <c r="G128" s="3149" t="s">
        <v>3537</v>
      </c>
      <c r="H128" s="3149" t="s">
        <v>3494</v>
      </c>
      <c r="I128" s="3149" t="s">
        <v>113</v>
      </c>
      <c r="J128" s="3149" t="s">
        <v>3389</v>
      </c>
      <c r="K128" s="3149" t="s">
        <v>3496</v>
      </c>
      <c r="L128" s="3150">
        <v>155.09</v>
      </c>
      <c r="M128" s="3150">
        <v>126.55</v>
      </c>
      <c r="N128" s="3161">
        <v>155.09</v>
      </c>
      <c r="O128" s="3150">
        <v>126.55</v>
      </c>
      <c r="P128" s="3151">
        <v>9500</v>
      </c>
      <c r="Q128" s="3151">
        <v>11642.47</v>
      </c>
      <c r="R128" s="3151">
        <v>1473355</v>
      </c>
      <c r="S128" s="3151">
        <v>11516.268</v>
      </c>
      <c r="T128" s="3151">
        <v>14113.4571</v>
      </c>
      <c r="U128" s="3151">
        <v>1786058</v>
      </c>
      <c r="V128" s="3151">
        <v>9999</v>
      </c>
      <c r="W128" s="3151">
        <v>12254.01</v>
      </c>
      <c r="X128" s="3151">
        <v>1550745</v>
      </c>
      <c r="Y128" s="3152">
        <v>1550745</v>
      </c>
      <c r="Z128" s="3152">
        <v>0</v>
      </c>
      <c r="AA128" s="3153"/>
      <c r="AB128" s="3151">
        <v>1550745</v>
      </c>
      <c r="AC128" s="3154">
        <v>43819</v>
      </c>
      <c r="AD128" s="3154">
        <v>44160.74860987268</v>
      </c>
      <c r="AE128" s="3154">
        <v>43847.467454201389</v>
      </c>
      <c r="AF128" s="3154">
        <v>44161</v>
      </c>
      <c r="AG128" s="3154">
        <v>44161</v>
      </c>
      <c r="AH128" s="3154">
        <v>44179</v>
      </c>
      <c r="AI128" s="3154">
        <v>44194</v>
      </c>
      <c r="AJ128" s="3154">
        <v>44834</v>
      </c>
      <c r="AK128" s="3149"/>
      <c r="AL128" s="3154">
        <v>43814</v>
      </c>
      <c r="AM128" s="3149" t="s">
        <v>3416</v>
      </c>
      <c r="AN128" s="3149" t="s">
        <v>3630</v>
      </c>
      <c r="AO128" s="3149" t="s">
        <v>3498</v>
      </c>
      <c r="AP128" s="3149" t="s">
        <v>3499</v>
      </c>
      <c r="AQ128" s="3149" t="s">
        <v>3499</v>
      </c>
      <c r="AR128" s="3149" t="s">
        <v>3500</v>
      </c>
      <c r="AS128" s="3149" t="s">
        <v>3501</v>
      </c>
      <c r="AT128" s="3149"/>
    </row>
    <row r="129" spans="1:46" ht="33.75">
      <c r="A129" s="3149">
        <v>121</v>
      </c>
      <c r="B129" s="3149" t="s">
        <v>3488</v>
      </c>
      <c r="C129" s="3149" t="s">
        <v>3489</v>
      </c>
      <c r="D129" s="3149" t="s">
        <v>3490</v>
      </c>
      <c r="E129" s="3149" t="s">
        <v>3631</v>
      </c>
      <c r="F129" s="3149" t="s">
        <v>3632</v>
      </c>
      <c r="G129" s="3149" t="s">
        <v>3493</v>
      </c>
      <c r="H129" s="3149" t="s">
        <v>3494</v>
      </c>
      <c r="I129" s="3149" t="s">
        <v>3633</v>
      </c>
      <c r="J129" s="3149" t="s">
        <v>3389</v>
      </c>
      <c r="K129" s="3149" t="s">
        <v>3496</v>
      </c>
      <c r="L129" s="3150">
        <v>97.84</v>
      </c>
      <c r="M129" s="3150">
        <v>77.13</v>
      </c>
      <c r="N129" s="3161">
        <v>97.84</v>
      </c>
      <c r="O129" s="3150">
        <v>77.13</v>
      </c>
      <c r="P129" s="3151">
        <v>13091.76</v>
      </c>
      <c r="Q129" s="3151">
        <v>16607</v>
      </c>
      <c r="R129" s="3151">
        <v>1280898</v>
      </c>
      <c r="S129" s="3151">
        <v>14500</v>
      </c>
      <c r="T129" s="3151">
        <v>18393.3619</v>
      </c>
      <c r="U129" s="3151">
        <v>1418680</v>
      </c>
      <c r="V129" s="3151">
        <v>14500</v>
      </c>
      <c r="W129" s="3151">
        <v>18393.36</v>
      </c>
      <c r="X129" s="3151">
        <v>1418680</v>
      </c>
      <c r="Y129" s="3152">
        <v>1418680</v>
      </c>
      <c r="Z129" s="3152">
        <v>0</v>
      </c>
      <c r="AA129" s="3153"/>
      <c r="AB129" s="3151">
        <v>1418680</v>
      </c>
      <c r="AC129" s="3154">
        <v>43819</v>
      </c>
      <c r="AD129" s="3154">
        <v>44050.574095833334</v>
      </c>
      <c r="AE129" s="3154">
        <v>43847.564216666666</v>
      </c>
      <c r="AF129" s="3149"/>
      <c r="AG129" s="3154">
        <v>44053.609224537038</v>
      </c>
      <c r="AH129" s="3154">
        <v>44065</v>
      </c>
      <c r="AI129" s="3154">
        <v>44081</v>
      </c>
      <c r="AJ129" s="3154">
        <v>44834</v>
      </c>
      <c r="AK129" s="3149"/>
      <c r="AL129" s="3154">
        <v>43814</v>
      </c>
      <c r="AM129" s="3149" t="s">
        <v>3416</v>
      </c>
      <c r="AN129" s="3149" t="s">
        <v>3634</v>
      </c>
      <c r="AO129" s="3149" t="s">
        <v>3540</v>
      </c>
      <c r="AP129" s="3149" t="s">
        <v>3499</v>
      </c>
      <c r="AQ129" s="3149" t="s">
        <v>3499</v>
      </c>
      <c r="AR129" s="3149" t="s">
        <v>3505</v>
      </c>
      <c r="AS129" s="3149" t="s">
        <v>3506</v>
      </c>
      <c r="AT129" s="3149" t="s">
        <v>3507</v>
      </c>
    </row>
    <row r="130" spans="1:46" ht="33.75">
      <c r="A130" s="3149">
        <v>122</v>
      </c>
      <c r="B130" s="3149" t="s">
        <v>3488</v>
      </c>
      <c r="C130" s="3149" t="s">
        <v>3489</v>
      </c>
      <c r="D130" s="3149" t="s">
        <v>3490</v>
      </c>
      <c r="E130" s="3149" t="s">
        <v>3631</v>
      </c>
      <c r="F130" s="3149" t="s">
        <v>3632</v>
      </c>
      <c r="G130" s="3149" t="s">
        <v>3502</v>
      </c>
      <c r="H130" s="3149" t="s">
        <v>3494</v>
      </c>
      <c r="I130" s="3149" t="s">
        <v>3633</v>
      </c>
      <c r="J130" s="3149" t="s">
        <v>3389</v>
      </c>
      <c r="K130" s="3149" t="s">
        <v>3496</v>
      </c>
      <c r="L130" s="3150">
        <v>97.84</v>
      </c>
      <c r="M130" s="3150">
        <v>77.13</v>
      </c>
      <c r="N130" s="3161">
        <v>97.84</v>
      </c>
      <c r="O130" s="3150">
        <v>77.13</v>
      </c>
      <c r="P130" s="3151">
        <v>12550.03</v>
      </c>
      <c r="Q130" s="3151">
        <v>15919.81</v>
      </c>
      <c r="R130" s="3151">
        <v>1227895</v>
      </c>
      <c r="S130" s="3151">
        <v>13900</v>
      </c>
      <c r="T130" s="3151">
        <v>17632.2572</v>
      </c>
      <c r="U130" s="3151">
        <v>1359976</v>
      </c>
      <c r="V130" s="3151">
        <v>13900</v>
      </c>
      <c r="W130" s="3151">
        <v>17632.259999999998</v>
      </c>
      <c r="X130" s="3151">
        <v>1359976</v>
      </c>
      <c r="Y130" s="3152">
        <v>1359976</v>
      </c>
      <c r="Z130" s="3152">
        <v>0</v>
      </c>
      <c r="AA130" s="3153"/>
      <c r="AB130" s="3151">
        <v>1359976</v>
      </c>
      <c r="AC130" s="3154">
        <v>43819</v>
      </c>
      <c r="AD130" s="3154">
        <v>44050.574095833334</v>
      </c>
      <c r="AE130" s="3154">
        <v>43847.564216666666</v>
      </c>
      <c r="AF130" s="3154">
        <v>44094</v>
      </c>
      <c r="AG130" s="3154">
        <v>44094</v>
      </c>
      <c r="AH130" s="3154">
        <v>44102</v>
      </c>
      <c r="AI130" s="3154">
        <v>44127</v>
      </c>
      <c r="AJ130" s="3154">
        <v>44834</v>
      </c>
      <c r="AK130" s="3149"/>
      <c r="AL130" s="3154">
        <v>43814</v>
      </c>
      <c r="AM130" s="3149" t="s">
        <v>3416</v>
      </c>
      <c r="AN130" s="3149" t="s">
        <v>3635</v>
      </c>
      <c r="AO130" s="3149" t="s">
        <v>3498</v>
      </c>
      <c r="AP130" s="3149" t="s">
        <v>3499</v>
      </c>
      <c r="AQ130" s="3149" t="s">
        <v>3499</v>
      </c>
      <c r="AR130" s="3149" t="s">
        <v>3500</v>
      </c>
      <c r="AS130" s="3149" t="s">
        <v>3501</v>
      </c>
      <c r="AT130" s="3149"/>
    </row>
    <row r="131" spans="1:46" ht="33.75">
      <c r="A131" s="3149">
        <v>123</v>
      </c>
      <c r="B131" s="3149" t="s">
        <v>3488</v>
      </c>
      <c r="C131" s="3149" t="s">
        <v>3489</v>
      </c>
      <c r="D131" s="3149" t="s">
        <v>3490</v>
      </c>
      <c r="E131" s="3149" t="s">
        <v>3631</v>
      </c>
      <c r="F131" s="3149" t="s">
        <v>3632</v>
      </c>
      <c r="G131" s="3149" t="s">
        <v>3508</v>
      </c>
      <c r="H131" s="3149" t="s">
        <v>3509</v>
      </c>
      <c r="I131" s="3149" t="s">
        <v>3633</v>
      </c>
      <c r="J131" s="3149" t="s">
        <v>3389</v>
      </c>
      <c r="K131" s="3149" t="s">
        <v>3496</v>
      </c>
      <c r="L131" s="3150">
        <v>97.84</v>
      </c>
      <c r="M131" s="3150">
        <v>77.13</v>
      </c>
      <c r="N131" s="3161">
        <v>97.84</v>
      </c>
      <c r="O131" s="3150">
        <v>77.13</v>
      </c>
      <c r="P131" s="3151">
        <v>5300</v>
      </c>
      <c r="Q131" s="3151">
        <v>6723.09</v>
      </c>
      <c r="R131" s="3151">
        <v>518552</v>
      </c>
      <c r="S131" s="3151">
        <v>5300</v>
      </c>
      <c r="T131" s="3151">
        <v>6723.0909000000001</v>
      </c>
      <c r="U131" s="3151">
        <v>518552</v>
      </c>
      <c r="V131" s="3153"/>
      <c r="W131" s="3153"/>
      <c r="X131" s="3153"/>
      <c r="Y131" s="3153"/>
      <c r="Z131" s="3152">
        <v>0</v>
      </c>
      <c r="AA131" s="3153"/>
      <c r="AB131" s="3151">
        <v>0</v>
      </c>
      <c r="AC131" s="3154">
        <v>43819</v>
      </c>
      <c r="AD131" s="3154">
        <v>45264.773614039354</v>
      </c>
      <c r="AE131" s="3154">
        <v>43847.564216666666</v>
      </c>
      <c r="AF131" s="3149"/>
      <c r="AG131" s="3149"/>
      <c r="AH131" s="3149"/>
      <c r="AI131" s="3149"/>
      <c r="AJ131" s="3149"/>
      <c r="AK131" s="3149"/>
      <c r="AL131" s="3154">
        <v>43814</v>
      </c>
      <c r="AM131" s="3149"/>
      <c r="AN131" s="3149"/>
      <c r="AO131" s="3149"/>
      <c r="AP131" s="3149"/>
      <c r="AQ131" s="3149"/>
      <c r="AR131" s="3149"/>
      <c r="AS131" s="3149"/>
      <c r="AT131" s="3149"/>
    </row>
    <row r="132" spans="1:46" ht="33.75">
      <c r="A132" s="3149">
        <v>124</v>
      </c>
      <c r="B132" s="3149" t="s">
        <v>3488</v>
      </c>
      <c r="C132" s="3149" t="s">
        <v>3489</v>
      </c>
      <c r="D132" s="3149" t="s">
        <v>3490</v>
      </c>
      <c r="E132" s="3149" t="s">
        <v>3631</v>
      </c>
      <c r="F132" s="3149" t="s">
        <v>3632</v>
      </c>
      <c r="G132" s="3149" t="s">
        <v>3510</v>
      </c>
      <c r="H132" s="3149" t="s">
        <v>3494</v>
      </c>
      <c r="I132" s="3149" t="s">
        <v>3633</v>
      </c>
      <c r="J132" s="3149" t="s">
        <v>3389</v>
      </c>
      <c r="K132" s="3149" t="s">
        <v>3496</v>
      </c>
      <c r="L132" s="3150">
        <v>97.84</v>
      </c>
      <c r="M132" s="3150">
        <v>77.13</v>
      </c>
      <c r="N132" s="3161">
        <v>97.84</v>
      </c>
      <c r="O132" s="3150">
        <v>77.13</v>
      </c>
      <c r="P132" s="3151">
        <v>9224.24</v>
      </c>
      <c r="Q132" s="3151">
        <v>11701.02</v>
      </c>
      <c r="R132" s="3151">
        <v>902500</v>
      </c>
      <c r="S132" s="3151">
        <v>10754.1803</v>
      </c>
      <c r="T132" s="3151">
        <v>13641.760700000001</v>
      </c>
      <c r="U132" s="3151">
        <v>1052189</v>
      </c>
      <c r="V132" s="3151">
        <v>9224.24</v>
      </c>
      <c r="W132" s="3151">
        <v>11701.02</v>
      </c>
      <c r="X132" s="3151">
        <v>902500</v>
      </c>
      <c r="Y132" s="3152">
        <v>902500</v>
      </c>
      <c r="Z132" s="3152">
        <v>0</v>
      </c>
      <c r="AA132" s="3153"/>
      <c r="AB132" s="3151">
        <v>902501</v>
      </c>
      <c r="AC132" s="3154">
        <v>43819</v>
      </c>
      <c r="AD132" s="3154">
        <v>44096.391653969906</v>
      </c>
      <c r="AE132" s="3154">
        <v>43847.564216666666</v>
      </c>
      <c r="AF132" s="3154">
        <v>44096</v>
      </c>
      <c r="AG132" s="3154">
        <v>44097</v>
      </c>
      <c r="AH132" s="3154">
        <v>44102</v>
      </c>
      <c r="AI132" s="3154">
        <v>44127</v>
      </c>
      <c r="AJ132" s="3154">
        <v>44834</v>
      </c>
      <c r="AK132" s="3149"/>
      <c r="AL132" s="3154">
        <v>43814</v>
      </c>
      <c r="AM132" s="3149" t="s">
        <v>3416</v>
      </c>
      <c r="AN132" s="3149" t="s">
        <v>3636</v>
      </c>
      <c r="AO132" s="3149" t="s">
        <v>3548</v>
      </c>
      <c r="AP132" s="3149"/>
      <c r="AQ132" s="3149"/>
      <c r="AR132" s="3149" t="s">
        <v>3505</v>
      </c>
      <c r="AS132" s="3149" t="s">
        <v>3561</v>
      </c>
      <c r="AT132" s="3149" t="s">
        <v>3519</v>
      </c>
    </row>
    <row r="133" spans="1:46" ht="33.75">
      <c r="A133" s="3149">
        <v>125</v>
      </c>
      <c r="B133" s="3149" t="s">
        <v>3488</v>
      </c>
      <c r="C133" s="3149" t="s">
        <v>3489</v>
      </c>
      <c r="D133" s="3149" t="s">
        <v>3490</v>
      </c>
      <c r="E133" s="3149" t="s">
        <v>3631</v>
      </c>
      <c r="F133" s="3149" t="s">
        <v>3632</v>
      </c>
      <c r="G133" s="3149" t="s">
        <v>3511</v>
      </c>
      <c r="H133" s="3149" t="s">
        <v>3494</v>
      </c>
      <c r="I133" s="3149" t="s">
        <v>3633</v>
      </c>
      <c r="J133" s="3149" t="s">
        <v>3389</v>
      </c>
      <c r="K133" s="3149" t="s">
        <v>3496</v>
      </c>
      <c r="L133" s="3150">
        <v>97.84</v>
      </c>
      <c r="M133" s="3150">
        <v>77.13</v>
      </c>
      <c r="N133" s="3161">
        <v>97.84</v>
      </c>
      <c r="O133" s="3150">
        <v>77.13</v>
      </c>
      <c r="P133" s="3151">
        <v>9499.0499999999993</v>
      </c>
      <c r="Q133" s="3151">
        <v>12049.62</v>
      </c>
      <c r="R133" s="3151">
        <v>929387</v>
      </c>
      <c r="S133" s="3151">
        <v>11074.5707</v>
      </c>
      <c r="T133" s="3151">
        <v>14048.178400000001</v>
      </c>
      <c r="U133" s="3151">
        <v>1083536</v>
      </c>
      <c r="V133" s="3151">
        <v>9799.0300000000007</v>
      </c>
      <c r="W133" s="3151">
        <v>12430.14</v>
      </c>
      <c r="X133" s="3151">
        <v>958737</v>
      </c>
      <c r="Y133" s="3152">
        <v>958737</v>
      </c>
      <c r="Z133" s="3152">
        <v>0</v>
      </c>
      <c r="AA133" s="3153"/>
      <c r="AB133" s="3151">
        <v>958737</v>
      </c>
      <c r="AC133" s="3154">
        <v>43819</v>
      </c>
      <c r="AD133" s="3154">
        <v>44372.487411145834</v>
      </c>
      <c r="AE133" s="3154">
        <v>43847.564216666666</v>
      </c>
      <c r="AF133" s="3154">
        <v>44546</v>
      </c>
      <c r="AG133" s="3154">
        <v>44547</v>
      </c>
      <c r="AH133" s="3149"/>
      <c r="AI133" s="3149"/>
      <c r="AJ133" s="3154">
        <v>45199</v>
      </c>
      <c r="AK133" s="3149"/>
      <c r="AL133" s="3154">
        <v>43814</v>
      </c>
      <c r="AM133" s="3149" t="s">
        <v>3516</v>
      </c>
      <c r="AN133" s="3149" t="s">
        <v>3637</v>
      </c>
      <c r="AO133" s="3149" t="s">
        <v>3638</v>
      </c>
      <c r="AP133" s="3149" t="s">
        <v>3499</v>
      </c>
      <c r="AQ133" s="3149" t="s">
        <v>3499</v>
      </c>
      <c r="AR133" s="3149" t="s">
        <v>3519</v>
      </c>
      <c r="AS133" s="3149" t="s">
        <v>3520</v>
      </c>
      <c r="AT133" s="3149"/>
    </row>
    <row r="134" spans="1:46" ht="33.75">
      <c r="A134" s="3149">
        <v>126</v>
      </c>
      <c r="B134" s="3149" t="s">
        <v>3488</v>
      </c>
      <c r="C134" s="3149" t="s">
        <v>3489</v>
      </c>
      <c r="D134" s="3149" t="s">
        <v>3490</v>
      </c>
      <c r="E134" s="3149" t="s">
        <v>3631</v>
      </c>
      <c r="F134" s="3149" t="s">
        <v>3632</v>
      </c>
      <c r="G134" s="3149" t="s">
        <v>3512</v>
      </c>
      <c r="H134" s="3149" t="s">
        <v>3494</v>
      </c>
      <c r="I134" s="3149" t="s">
        <v>3633</v>
      </c>
      <c r="J134" s="3149" t="s">
        <v>3389</v>
      </c>
      <c r="K134" s="3149" t="s">
        <v>3496</v>
      </c>
      <c r="L134" s="3150">
        <v>97.84</v>
      </c>
      <c r="M134" s="3150">
        <v>77.13</v>
      </c>
      <c r="N134" s="3161">
        <v>97.84</v>
      </c>
      <c r="O134" s="3150">
        <v>77.13</v>
      </c>
      <c r="P134" s="3151">
        <v>9499.0499999999993</v>
      </c>
      <c r="Q134" s="3151">
        <v>12049.62</v>
      </c>
      <c r="R134" s="3151">
        <v>929387</v>
      </c>
      <c r="S134" s="3151">
        <v>11074.5707</v>
      </c>
      <c r="T134" s="3151">
        <v>14048.178400000001</v>
      </c>
      <c r="U134" s="3151">
        <v>1083536</v>
      </c>
      <c r="V134" s="3151">
        <v>9799.0300000000007</v>
      </c>
      <c r="W134" s="3151">
        <v>12430.14</v>
      </c>
      <c r="X134" s="3151">
        <v>958737</v>
      </c>
      <c r="Y134" s="3152">
        <v>958737</v>
      </c>
      <c r="Z134" s="3152">
        <v>0</v>
      </c>
      <c r="AA134" s="3153"/>
      <c r="AB134" s="3151">
        <v>958737</v>
      </c>
      <c r="AC134" s="3154">
        <v>43819</v>
      </c>
      <c r="AD134" s="3154">
        <v>44372.487411145834</v>
      </c>
      <c r="AE134" s="3154">
        <v>43847.564216666666</v>
      </c>
      <c r="AF134" s="3154">
        <v>44546</v>
      </c>
      <c r="AG134" s="3154">
        <v>44547</v>
      </c>
      <c r="AH134" s="3149"/>
      <c r="AI134" s="3149"/>
      <c r="AJ134" s="3154">
        <v>45199</v>
      </c>
      <c r="AK134" s="3149"/>
      <c r="AL134" s="3154">
        <v>43814</v>
      </c>
      <c r="AM134" s="3149" t="s">
        <v>3516</v>
      </c>
      <c r="AN134" s="3149" t="s">
        <v>3637</v>
      </c>
      <c r="AO134" s="3149" t="s">
        <v>3638</v>
      </c>
      <c r="AP134" s="3149" t="s">
        <v>3499</v>
      </c>
      <c r="AQ134" s="3149" t="s">
        <v>3499</v>
      </c>
      <c r="AR134" s="3149" t="s">
        <v>3519</v>
      </c>
      <c r="AS134" s="3149" t="s">
        <v>3520</v>
      </c>
      <c r="AT134" s="3149"/>
    </row>
    <row r="135" spans="1:46" ht="33.75">
      <c r="A135" s="3149">
        <v>127</v>
      </c>
      <c r="B135" s="3149" t="s">
        <v>3488</v>
      </c>
      <c r="C135" s="3149" t="s">
        <v>3489</v>
      </c>
      <c r="D135" s="3149" t="s">
        <v>3490</v>
      </c>
      <c r="E135" s="3149" t="s">
        <v>3631</v>
      </c>
      <c r="F135" s="3149" t="s">
        <v>3632</v>
      </c>
      <c r="G135" s="3149" t="s">
        <v>3513</v>
      </c>
      <c r="H135" s="3149" t="s">
        <v>3494</v>
      </c>
      <c r="I135" s="3149" t="s">
        <v>3633</v>
      </c>
      <c r="J135" s="3149" t="s">
        <v>3389</v>
      </c>
      <c r="K135" s="3149" t="s">
        <v>3496</v>
      </c>
      <c r="L135" s="3150">
        <v>97.84</v>
      </c>
      <c r="M135" s="3150">
        <v>77.13</v>
      </c>
      <c r="N135" s="3161">
        <v>97.84</v>
      </c>
      <c r="O135" s="3150">
        <v>77.13</v>
      </c>
      <c r="P135" s="3151">
        <v>9499.0499999999993</v>
      </c>
      <c r="Q135" s="3151">
        <v>12049.62</v>
      </c>
      <c r="R135" s="3151">
        <v>929387</v>
      </c>
      <c r="S135" s="3151">
        <v>11074.5707</v>
      </c>
      <c r="T135" s="3151">
        <v>14048.178400000001</v>
      </c>
      <c r="U135" s="3151">
        <v>1083536</v>
      </c>
      <c r="V135" s="3151">
        <v>9799.0300000000007</v>
      </c>
      <c r="W135" s="3151">
        <v>12430.14</v>
      </c>
      <c r="X135" s="3151">
        <v>958737</v>
      </c>
      <c r="Y135" s="3152">
        <v>958737</v>
      </c>
      <c r="Z135" s="3152">
        <v>0</v>
      </c>
      <c r="AA135" s="3153"/>
      <c r="AB135" s="3151">
        <v>958737</v>
      </c>
      <c r="AC135" s="3154">
        <v>43819</v>
      </c>
      <c r="AD135" s="3154">
        <v>44372.487411145834</v>
      </c>
      <c r="AE135" s="3154">
        <v>43847.564216666666</v>
      </c>
      <c r="AF135" s="3154">
        <v>44546</v>
      </c>
      <c r="AG135" s="3154">
        <v>44547</v>
      </c>
      <c r="AH135" s="3149"/>
      <c r="AI135" s="3149"/>
      <c r="AJ135" s="3154">
        <v>45199</v>
      </c>
      <c r="AK135" s="3149"/>
      <c r="AL135" s="3154">
        <v>43814</v>
      </c>
      <c r="AM135" s="3149" t="s">
        <v>3516</v>
      </c>
      <c r="AN135" s="3149" t="s">
        <v>3637</v>
      </c>
      <c r="AO135" s="3149" t="s">
        <v>3638</v>
      </c>
      <c r="AP135" s="3149" t="s">
        <v>3499</v>
      </c>
      <c r="AQ135" s="3149" t="s">
        <v>3499</v>
      </c>
      <c r="AR135" s="3149" t="s">
        <v>3519</v>
      </c>
      <c r="AS135" s="3149" t="s">
        <v>3520</v>
      </c>
      <c r="AT135" s="3149"/>
    </row>
    <row r="136" spans="1:46" ht="33.75">
      <c r="A136" s="3149">
        <v>128</v>
      </c>
      <c r="B136" s="3149" t="s">
        <v>3488</v>
      </c>
      <c r="C136" s="3149" t="s">
        <v>3489</v>
      </c>
      <c r="D136" s="3149" t="s">
        <v>3490</v>
      </c>
      <c r="E136" s="3149" t="s">
        <v>3631</v>
      </c>
      <c r="F136" s="3149" t="s">
        <v>3632</v>
      </c>
      <c r="G136" s="3149" t="s">
        <v>3514</v>
      </c>
      <c r="H136" s="3149" t="s">
        <v>3494</v>
      </c>
      <c r="I136" s="3149" t="s">
        <v>3633</v>
      </c>
      <c r="J136" s="3149" t="s">
        <v>3389</v>
      </c>
      <c r="K136" s="3149" t="s">
        <v>3496</v>
      </c>
      <c r="L136" s="3150">
        <v>97.84</v>
      </c>
      <c r="M136" s="3150">
        <v>77.13</v>
      </c>
      <c r="N136" s="3161">
        <v>97.84</v>
      </c>
      <c r="O136" s="3150">
        <v>77.13</v>
      </c>
      <c r="P136" s="3151">
        <v>10580.15</v>
      </c>
      <c r="Q136" s="3151">
        <v>13421</v>
      </c>
      <c r="R136" s="3151">
        <v>1035162</v>
      </c>
      <c r="S136" s="3151">
        <v>11718.223599999999</v>
      </c>
      <c r="T136" s="3151">
        <v>14864.6571</v>
      </c>
      <c r="U136" s="3151">
        <v>1146511</v>
      </c>
      <c r="V136" s="3151">
        <v>10580.15</v>
      </c>
      <c r="W136" s="3151">
        <v>13421</v>
      </c>
      <c r="X136" s="3151">
        <v>1035162</v>
      </c>
      <c r="Y136" s="3152">
        <v>1035162</v>
      </c>
      <c r="Z136" s="3152">
        <v>0</v>
      </c>
      <c r="AA136" s="3153"/>
      <c r="AB136" s="3151">
        <v>1035162</v>
      </c>
      <c r="AC136" s="3154">
        <v>43819</v>
      </c>
      <c r="AD136" s="3154">
        <v>43915.685597453703</v>
      </c>
      <c r="AE136" s="3154">
        <v>43847.564216666666</v>
      </c>
      <c r="AF136" s="3154">
        <v>43925</v>
      </c>
      <c r="AG136" s="3154">
        <v>43969</v>
      </c>
      <c r="AH136" s="3154">
        <v>44046</v>
      </c>
      <c r="AI136" s="3154">
        <v>44054</v>
      </c>
      <c r="AJ136" s="3154">
        <v>44834</v>
      </c>
      <c r="AK136" s="3149"/>
      <c r="AL136" s="3154">
        <v>43814</v>
      </c>
      <c r="AM136" s="3149" t="s">
        <v>3416</v>
      </c>
      <c r="AN136" s="3149" t="s">
        <v>3639</v>
      </c>
      <c r="AO136" s="3149" t="s">
        <v>3556</v>
      </c>
      <c r="AP136" s="3149" t="s">
        <v>3499</v>
      </c>
      <c r="AQ136" s="3149" t="s">
        <v>3499</v>
      </c>
      <c r="AR136" s="3149" t="s">
        <v>3640</v>
      </c>
      <c r="AS136" s="3149" t="s">
        <v>3641</v>
      </c>
      <c r="AT136" s="3149"/>
    </row>
    <row r="137" spans="1:46" ht="33.75">
      <c r="A137" s="3149">
        <v>129</v>
      </c>
      <c r="B137" s="3149" t="s">
        <v>3488</v>
      </c>
      <c r="C137" s="3149" t="s">
        <v>3489</v>
      </c>
      <c r="D137" s="3149" t="s">
        <v>3490</v>
      </c>
      <c r="E137" s="3149" t="s">
        <v>3631</v>
      </c>
      <c r="F137" s="3149" t="s">
        <v>3632</v>
      </c>
      <c r="G137" s="3149" t="s">
        <v>3515</v>
      </c>
      <c r="H137" s="3149" t="s">
        <v>3494</v>
      </c>
      <c r="I137" s="3149" t="s">
        <v>3633</v>
      </c>
      <c r="J137" s="3149" t="s">
        <v>3389</v>
      </c>
      <c r="K137" s="3149" t="s">
        <v>3496</v>
      </c>
      <c r="L137" s="3150">
        <v>97.84</v>
      </c>
      <c r="M137" s="3150">
        <v>77.13</v>
      </c>
      <c r="N137" s="3161">
        <v>97.84</v>
      </c>
      <c r="O137" s="3150">
        <v>77.13</v>
      </c>
      <c r="P137" s="3151">
        <v>9595</v>
      </c>
      <c r="Q137" s="3151">
        <v>12171.33</v>
      </c>
      <c r="R137" s="3151">
        <v>938775</v>
      </c>
      <c r="S137" s="3151">
        <v>11186.437</v>
      </c>
      <c r="T137" s="3151">
        <v>14190.081700000001</v>
      </c>
      <c r="U137" s="3151">
        <v>1094481</v>
      </c>
      <c r="V137" s="3151">
        <v>9898.01</v>
      </c>
      <c r="W137" s="3151">
        <v>12555.7</v>
      </c>
      <c r="X137" s="3151">
        <v>968421</v>
      </c>
      <c r="Y137" s="3152">
        <v>968421</v>
      </c>
      <c r="Z137" s="3152">
        <v>0</v>
      </c>
      <c r="AA137" s="3153"/>
      <c r="AB137" s="3151">
        <v>968421</v>
      </c>
      <c r="AC137" s="3154">
        <v>43819</v>
      </c>
      <c r="AD137" s="3154">
        <v>44372.487411145834</v>
      </c>
      <c r="AE137" s="3154">
        <v>43847.564216666666</v>
      </c>
      <c r="AF137" s="3154">
        <v>44546</v>
      </c>
      <c r="AG137" s="3154">
        <v>44547</v>
      </c>
      <c r="AH137" s="3149"/>
      <c r="AI137" s="3149"/>
      <c r="AJ137" s="3154">
        <v>45199</v>
      </c>
      <c r="AK137" s="3149"/>
      <c r="AL137" s="3154">
        <v>43814</v>
      </c>
      <c r="AM137" s="3149" t="s">
        <v>3516</v>
      </c>
      <c r="AN137" s="3149" t="s">
        <v>3637</v>
      </c>
      <c r="AO137" s="3149" t="s">
        <v>3498</v>
      </c>
      <c r="AP137" s="3149" t="s">
        <v>3499</v>
      </c>
      <c r="AQ137" s="3149" t="s">
        <v>3499</v>
      </c>
      <c r="AR137" s="3149" t="s">
        <v>3519</v>
      </c>
      <c r="AS137" s="3149" t="s">
        <v>3520</v>
      </c>
      <c r="AT137" s="3149"/>
    </row>
    <row r="138" spans="1:46" ht="33.75">
      <c r="A138" s="3149">
        <v>130</v>
      </c>
      <c r="B138" s="3149" t="s">
        <v>3488</v>
      </c>
      <c r="C138" s="3149" t="s">
        <v>3489</v>
      </c>
      <c r="D138" s="3149" t="s">
        <v>3490</v>
      </c>
      <c r="E138" s="3149" t="s">
        <v>3631</v>
      </c>
      <c r="F138" s="3149" t="s">
        <v>3632</v>
      </c>
      <c r="G138" s="3149" t="s">
        <v>3521</v>
      </c>
      <c r="H138" s="3149" t="s">
        <v>3494</v>
      </c>
      <c r="I138" s="3149" t="s">
        <v>3633</v>
      </c>
      <c r="J138" s="3149" t="s">
        <v>3389</v>
      </c>
      <c r="K138" s="3149" t="s">
        <v>3496</v>
      </c>
      <c r="L138" s="3150">
        <v>97.84</v>
      </c>
      <c r="M138" s="3150">
        <v>77.13</v>
      </c>
      <c r="N138" s="3161">
        <v>97.84</v>
      </c>
      <c r="O138" s="3150">
        <v>77.13</v>
      </c>
      <c r="P138" s="3151">
        <v>11237</v>
      </c>
      <c r="Q138" s="3151">
        <v>14254.22</v>
      </c>
      <c r="R138" s="3151">
        <v>1099428</v>
      </c>
      <c r="S138" s="3151">
        <v>11823.446400000001</v>
      </c>
      <c r="T138" s="3151">
        <v>14998.133</v>
      </c>
      <c r="U138" s="3151">
        <v>1156806</v>
      </c>
      <c r="V138" s="3151">
        <v>11237</v>
      </c>
      <c r="W138" s="3151">
        <v>14254.22</v>
      </c>
      <c r="X138" s="3151">
        <v>1099428</v>
      </c>
      <c r="Y138" s="3152">
        <v>1099428</v>
      </c>
      <c r="Z138" s="3152">
        <v>0</v>
      </c>
      <c r="AA138" s="3153"/>
      <c r="AB138" s="3151">
        <v>1099428</v>
      </c>
      <c r="AC138" s="3154">
        <v>43819</v>
      </c>
      <c r="AD138" s="3154">
        <v>43847.46574915509</v>
      </c>
      <c r="AE138" s="3154">
        <v>43847.564216666666</v>
      </c>
      <c r="AF138" s="3154">
        <v>43950</v>
      </c>
      <c r="AG138" s="3154">
        <v>43950</v>
      </c>
      <c r="AH138" s="3154">
        <v>44306</v>
      </c>
      <c r="AI138" s="3154">
        <v>44314</v>
      </c>
      <c r="AJ138" s="3154">
        <v>44834</v>
      </c>
      <c r="AK138" s="3149"/>
      <c r="AL138" s="3154">
        <v>43814</v>
      </c>
      <c r="AM138" s="3149" t="s">
        <v>3416</v>
      </c>
      <c r="AN138" s="3149" t="s">
        <v>3642</v>
      </c>
      <c r="AO138" s="3149" t="s">
        <v>3591</v>
      </c>
      <c r="AP138" s="3149" t="s">
        <v>3499</v>
      </c>
      <c r="AQ138" s="3149" t="s">
        <v>3499</v>
      </c>
      <c r="AR138" s="3149"/>
      <c r="AS138" s="3149"/>
      <c r="AT138" s="3149"/>
    </row>
    <row r="139" spans="1:46" ht="33.75">
      <c r="A139" s="3149">
        <v>131</v>
      </c>
      <c r="B139" s="3149" t="s">
        <v>3488</v>
      </c>
      <c r="C139" s="3149" t="s">
        <v>3489</v>
      </c>
      <c r="D139" s="3149" t="s">
        <v>3490</v>
      </c>
      <c r="E139" s="3149" t="s">
        <v>3631</v>
      </c>
      <c r="F139" s="3149" t="s">
        <v>3632</v>
      </c>
      <c r="G139" s="3149" t="s">
        <v>3522</v>
      </c>
      <c r="H139" s="3149" t="s">
        <v>3494</v>
      </c>
      <c r="I139" s="3149" t="s">
        <v>3633</v>
      </c>
      <c r="J139" s="3149" t="s">
        <v>3389</v>
      </c>
      <c r="K139" s="3149" t="s">
        <v>3496</v>
      </c>
      <c r="L139" s="3150">
        <v>97.84</v>
      </c>
      <c r="M139" s="3150">
        <v>77.13</v>
      </c>
      <c r="N139" s="3161">
        <v>97.84</v>
      </c>
      <c r="O139" s="3150">
        <v>77.13</v>
      </c>
      <c r="P139" s="3151">
        <v>9690</v>
      </c>
      <c r="Q139" s="3151">
        <v>12291.84</v>
      </c>
      <c r="R139" s="3151">
        <v>948070</v>
      </c>
      <c r="S139" s="3151">
        <v>11297.1893</v>
      </c>
      <c r="T139" s="3151">
        <v>14330.5718</v>
      </c>
      <c r="U139" s="3151">
        <v>1105317</v>
      </c>
      <c r="V139" s="3151">
        <v>9996</v>
      </c>
      <c r="W139" s="3151">
        <v>12680.01</v>
      </c>
      <c r="X139" s="3151">
        <v>978009</v>
      </c>
      <c r="Y139" s="3152">
        <v>978009</v>
      </c>
      <c r="Z139" s="3152">
        <v>0</v>
      </c>
      <c r="AA139" s="3153"/>
      <c r="AB139" s="3151">
        <v>978009</v>
      </c>
      <c r="AC139" s="3154">
        <v>43819</v>
      </c>
      <c r="AD139" s="3154">
        <v>44372.487411145834</v>
      </c>
      <c r="AE139" s="3154">
        <v>43847.564216666666</v>
      </c>
      <c r="AF139" s="3154">
        <v>44546</v>
      </c>
      <c r="AG139" s="3154">
        <v>44547</v>
      </c>
      <c r="AH139" s="3149"/>
      <c r="AI139" s="3149"/>
      <c r="AJ139" s="3154">
        <v>45199</v>
      </c>
      <c r="AK139" s="3149"/>
      <c r="AL139" s="3154">
        <v>43814</v>
      </c>
      <c r="AM139" s="3149" t="s">
        <v>3516</v>
      </c>
      <c r="AN139" s="3149" t="s">
        <v>3637</v>
      </c>
      <c r="AO139" s="3149" t="s">
        <v>3498</v>
      </c>
      <c r="AP139" s="3149" t="s">
        <v>3499</v>
      </c>
      <c r="AQ139" s="3149" t="s">
        <v>3499</v>
      </c>
      <c r="AR139" s="3149" t="s">
        <v>3519</v>
      </c>
      <c r="AS139" s="3149" t="s">
        <v>3520</v>
      </c>
      <c r="AT139" s="3149"/>
    </row>
    <row r="140" spans="1:46" ht="33.75">
      <c r="A140" s="3149">
        <v>132</v>
      </c>
      <c r="B140" s="3149" t="s">
        <v>3488</v>
      </c>
      <c r="C140" s="3149" t="s">
        <v>3489</v>
      </c>
      <c r="D140" s="3149" t="s">
        <v>3490</v>
      </c>
      <c r="E140" s="3149" t="s">
        <v>3631</v>
      </c>
      <c r="F140" s="3149" t="s">
        <v>3632</v>
      </c>
      <c r="G140" s="3149" t="s">
        <v>3523</v>
      </c>
      <c r="H140" s="3149" t="s">
        <v>3494</v>
      </c>
      <c r="I140" s="3149" t="s">
        <v>3633</v>
      </c>
      <c r="J140" s="3149" t="s">
        <v>3389</v>
      </c>
      <c r="K140" s="3149" t="s">
        <v>3496</v>
      </c>
      <c r="L140" s="3150">
        <v>97.84</v>
      </c>
      <c r="M140" s="3150">
        <v>77.13</v>
      </c>
      <c r="N140" s="3161">
        <v>97.84</v>
      </c>
      <c r="O140" s="3150">
        <v>77.13</v>
      </c>
      <c r="P140" s="3151">
        <v>11337</v>
      </c>
      <c r="Q140" s="3151">
        <v>14381.07</v>
      </c>
      <c r="R140" s="3151">
        <v>1109212</v>
      </c>
      <c r="S140" s="3151">
        <v>11928.6693</v>
      </c>
      <c r="T140" s="3151">
        <v>15131.609</v>
      </c>
      <c r="U140" s="3151">
        <v>1167101</v>
      </c>
      <c r="V140" s="3151">
        <v>11337.01</v>
      </c>
      <c r="W140" s="3151">
        <v>14381.08</v>
      </c>
      <c r="X140" s="3151">
        <v>1109213</v>
      </c>
      <c r="Y140" s="3152">
        <v>1109213</v>
      </c>
      <c r="Z140" s="3152">
        <v>0</v>
      </c>
      <c r="AA140" s="3153"/>
      <c r="AB140" s="3151">
        <v>1109213</v>
      </c>
      <c r="AC140" s="3154">
        <v>43819</v>
      </c>
      <c r="AD140" s="3154">
        <v>43847.46574915509</v>
      </c>
      <c r="AE140" s="3154">
        <v>43847.564216666666</v>
      </c>
      <c r="AF140" s="3154">
        <v>43950</v>
      </c>
      <c r="AG140" s="3154">
        <v>43950</v>
      </c>
      <c r="AH140" s="3154">
        <v>44149</v>
      </c>
      <c r="AI140" s="3154">
        <v>44154</v>
      </c>
      <c r="AJ140" s="3154">
        <v>44834</v>
      </c>
      <c r="AK140" s="3149"/>
      <c r="AL140" s="3154">
        <v>43814</v>
      </c>
      <c r="AM140" s="3149" t="s">
        <v>3416</v>
      </c>
      <c r="AN140" s="3149" t="s">
        <v>3643</v>
      </c>
      <c r="AO140" s="3149" t="s">
        <v>3591</v>
      </c>
      <c r="AP140" s="3149" t="s">
        <v>3499</v>
      </c>
      <c r="AQ140" s="3149" t="s">
        <v>3499</v>
      </c>
      <c r="AR140" s="3149"/>
      <c r="AS140" s="3149"/>
      <c r="AT140" s="3149"/>
    </row>
    <row r="141" spans="1:46" ht="33.75">
      <c r="A141" s="3149">
        <v>133</v>
      </c>
      <c r="B141" s="3149" t="s">
        <v>3488</v>
      </c>
      <c r="C141" s="3149" t="s">
        <v>3489</v>
      </c>
      <c r="D141" s="3149" t="s">
        <v>3490</v>
      </c>
      <c r="E141" s="3149" t="s">
        <v>3631</v>
      </c>
      <c r="F141" s="3149" t="s">
        <v>3632</v>
      </c>
      <c r="G141" s="3149" t="s">
        <v>3525</v>
      </c>
      <c r="H141" s="3149" t="s">
        <v>3494</v>
      </c>
      <c r="I141" s="3149" t="s">
        <v>3633</v>
      </c>
      <c r="J141" s="3149" t="s">
        <v>3389</v>
      </c>
      <c r="K141" s="3149" t="s">
        <v>3496</v>
      </c>
      <c r="L141" s="3150">
        <v>97.84</v>
      </c>
      <c r="M141" s="3150">
        <v>77.13</v>
      </c>
      <c r="N141" s="3161">
        <v>97.84</v>
      </c>
      <c r="O141" s="3150">
        <v>77.13</v>
      </c>
      <c r="P141" s="3151">
        <v>9690</v>
      </c>
      <c r="Q141" s="3151">
        <v>12291.84</v>
      </c>
      <c r="R141" s="3151">
        <v>948070</v>
      </c>
      <c r="S141" s="3151">
        <v>11297.1893</v>
      </c>
      <c r="T141" s="3151">
        <v>14330.5718</v>
      </c>
      <c r="U141" s="3151">
        <v>1105317</v>
      </c>
      <c r="V141" s="3151">
        <v>9996</v>
      </c>
      <c r="W141" s="3151">
        <v>12680.01</v>
      </c>
      <c r="X141" s="3151">
        <v>978009</v>
      </c>
      <c r="Y141" s="3152">
        <v>978009</v>
      </c>
      <c r="Z141" s="3152">
        <v>0</v>
      </c>
      <c r="AA141" s="3153"/>
      <c r="AB141" s="3151">
        <v>978009</v>
      </c>
      <c r="AC141" s="3154">
        <v>43819</v>
      </c>
      <c r="AD141" s="3154">
        <v>44372.487411145834</v>
      </c>
      <c r="AE141" s="3154">
        <v>43847.564216666666</v>
      </c>
      <c r="AF141" s="3154">
        <v>44546</v>
      </c>
      <c r="AG141" s="3154">
        <v>44547</v>
      </c>
      <c r="AH141" s="3149"/>
      <c r="AI141" s="3149"/>
      <c r="AJ141" s="3154">
        <v>45199</v>
      </c>
      <c r="AK141" s="3149"/>
      <c r="AL141" s="3154">
        <v>43814</v>
      </c>
      <c r="AM141" s="3149" t="s">
        <v>3516</v>
      </c>
      <c r="AN141" s="3149" t="s">
        <v>3637</v>
      </c>
      <c r="AO141" s="3149" t="s">
        <v>3498</v>
      </c>
      <c r="AP141" s="3149" t="s">
        <v>3499</v>
      </c>
      <c r="AQ141" s="3149" t="s">
        <v>3499</v>
      </c>
      <c r="AR141" s="3149" t="s">
        <v>3519</v>
      </c>
      <c r="AS141" s="3149" t="s">
        <v>3520</v>
      </c>
      <c r="AT141" s="3149"/>
    </row>
    <row r="142" spans="1:46" ht="33.75">
      <c r="A142" s="3149">
        <v>134</v>
      </c>
      <c r="B142" s="3149" t="s">
        <v>3488</v>
      </c>
      <c r="C142" s="3149" t="s">
        <v>3489</v>
      </c>
      <c r="D142" s="3149" t="s">
        <v>3490</v>
      </c>
      <c r="E142" s="3149" t="s">
        <v>3631</v>
      </c>
      <c r="F142" s="3149" t="s">
        <v>3632</v>
      </c>
      <c r="G142" s="3149" t="s">
        <v>3528</v>
      </c>
      <c r="H142" s="3149" t="s">
        <v>3494</v>
      </c>
      <c r="I142" s="3149" t="s">
        <v>3633</v>
      </c>
      <c r="J142" s="3149" t="s">
        <v>3389</v>
      </c>
      <c r="K142" s="3149" t="s">
        <v>3496</v>
      </c>
      <c r="L142" s="3150">
        <v>97.84</v>
      </c>
      <c r="M142" s="3150">
        <v>77.13</v>
      </c>
      <c r="N142" s="3161">
        <v>97.84</v>
      </c>
      <c r="O142" s="3150">
        <v>77.13</v>
      </c>
      <c r="P142" s="3151">
        <v>9690</v>
      </c>
      <c r="Q142" s="3151">
        <v>12291.84</v>
      </c>
      <c r="R142" s="3151">
        <v>948070</v>
      </c>
      <c r="S142" s="3151">
        <v>11297.1893</v>
      </c>
      <c r="T142" s="3151">
        <v>14330.5718</v>
      </c>
      <c r="U142" s="3151">
        <v>1105317</v>
      </c>
      <c r="V142" s="3151">
        <v>9996</v>
      </c>
      <c r="W142" s="3151">
        <v>12680.01</v>
      </c>
      <c r="X142" s="3151">
        <v>978009</v>
      </c>
      <c r="Y142" s="3152">
        <v>978009</v>
      </c>
      <c r="Z142" s="3152">
        <v>0</v>
      </c>
      <c r="AA142" s="3153"/>
      <c r="AB142" s="3151">
        <v>978009</v>
      </c>
      <c r="AC142" s="3154">
        <v>43819</v>
      </c>
      <c r="AD142" s="3154">
        <v>44372.487411145834</v>
      </c>
      <c r="AE142" s="3154">
        <v>43847.564216666666</v>
      </c>
      <c r="AF142" s="3154">
        <v>44546</v>
      </c>
      <c r="AG142" s="3154">
        <v>44547</v>
      </c>
      <c r="AH142" s="3149"/>
      <c r="AI142" s="3149"/>
      <c r="AJ142" s="3154">
        <v>45199</v>
      </c>
      <c r="AK142" s="3149"/>
      <c r="AL142" s="3154">
        <v>43814</v>
      </c>
      <c r="AM142" s="3149" t="s">
        <v>3516</v>
      </c>
      <c r="AN142" s="3149" t="s">
        <v>3637</v>
      </c>
      <c r="AO142" s="3149" t="s">
        <v>3504</v>
      </c>
      <c r="AP142" s="3149" t="s">
        <v>3499</v>
      </c>
      <c r="AQ142" s="3149" t="s">
        <v>3499</v>
      </c>
      <c r="AR142" s="3149" t="s">
        <v>3519</v>
      </c>
      <c r="AS142" s="3149" t="s">
        <v>3520</v>
      </c>
      <c r="AT142" s="3149"/>
    </row>
    <row r="143" spans="1:46" ht="33.75">
      <c r="A143" s="3149">
        <v>135</v>
      </c>
      <c r="B143" s="3149" t="s">
        <v>3488</v>
      </c>
      <c r="C143" s="3149" t="s">
        <v>3489</v>
      </c>
      <c r="D143" s="3149" t="s">
        <v>3490</v>
      </c>
      <c r="E143" s="3149" t="s">
        <v>3631</v>
      </c>
      <c r="F143" s="3149" t="s">
        <v>3632</v>
      </c>
      <c r="G143" s="3149" t="s">
        <v>3529</v>
      </c>
      <c r="H143" s="3149" t="s">
        <v>3494</v>
      </c>
      <c r="I143" s="3149" t="s">
        <v>3633</v>
      </c>
      <c r="J143" s="3149" t="s">
        <v>3389</v>
      </c>
      <c r="K143" s="3149" t="s">
        <v>3496</v>
      </c>
      <c r="L143" s="3150">
        <v>97.84</v>
      </c>
      <c r="M143" s="3150">
        <v>77.13</v>
      </c>
      <c r="N143" s="3161">
        <v>97.84</v>
      </c>
      <c r="O143" s="3150">
        <v>77.13</v>
      </c>
      <c r="P143" s="3151">
        <v>11055.16</v>
      </c>
      <c r="Q143" s="3151">
        <v>14023.56</v>
      </c>
      <c r="R143" s="3151">
        <v>1081637</v>
      </c>
      <c r="S143" s="3151">
        <v>12244.327499999999</v>
      </c>
      <c r="T143" s="3151">
        <v>15532.0239</v>
      </c>
      <c r="U143" s="3151">
        <v>1197985</v>
      </c>
      <c r="V143" s="3151">
        <v>11055.16</v>
      </c>
      <c r="W143" s="3151">
        <v>14023.56</v>
      </c>
      <c r="X143" s="3151">
        <v>1081637</v>
      </c>
      <c r="Y143" s="3152">
        <v>1081637</v>
      </c>
      <c r="Z143" s="3152">
        <v>0</v>
      </c>
      <c r="AA143" s="3153"/>
      <c r="AB143" s="3151">
        <v>1081637</v>
      </c>
      <c r="AC143" s="3154">
        <v>43819</v>
      </c>
      <c r="AD143" s="3154">
        <v>43915.685597453703</v>
      </c>
      <c r="AE143" s="3154">
        <v>43847.564216666666</v>
      </c>
      <c r="AF143" s="3154">
        <v>43916</v>
      </c>
      <c r="AG143" s="3154">
        <v>43916</v>
      </c>
      <c r="AH143" s="3154">
        <v>43938</v>
      </c>
      <c r="AI143" s="3154">
        <v>43949</v>
      </c>
      <c r="AJ143" s="3154">
        <v>44834</v>
      </c>
      <c r="AK143" s="3149"/>
      <c r="AL143" s="3154">
        <v>43814</v>
      </c>
      <c r="AM143" s="3149" t="s">
        <v>3416</v>
      </c>
      <c r="AN143" s="3149" t="s">
        <v>3644</v>
      </c>
      <c r="AO143" s="3149" t="s">
        <v>3645</v>
      </c>
      <c r="AP143" s="3149" t="s">
        <v>3577</v>
      </c>
      <c r="AQ143" s="3149"/>
      <c r="AR143" s="3149"/>
      <c r="AS143" s="3149"/>
      <c r="AT143" s="3149"/>
    </row>
    <row r="144" spans="1:46" ht="33.75">
      <c r="A144" s="3149">
        <v>136</v>
      </c>
      <c r="B144" s="3149" t="s">
        <v>3488</v>
      </c>
      <c r="C144" s="3149" t="s">
        <v>3489</v>
      </c>
      <c r="D144" s="3149" t="s">
        <v>3490</v>
      </c>
      <c r="E144" s="3149" t="s">
        <v>3631</v>
      </c>
      <c r="F144" s="3149" t="s">
        <v>3632</v>
      </c>
      <c r="G144" s="3149" t="s">
        <v>3530</v>
      </c>
      <c r="H144" s="3149" t="s">
        <v>3494</v>
      </c>
      <c r="I144" s="3149" t="s">
        <v>3633</v>
      </c>
      <c r="J144" s="3149" t="s">
        <v>3389</v>
      </c>
      <c r="K144" s="3149" t="s">
        <v>3496</v>
      </c>
      <c r="L144" s="3150">
        <v>97.84</v>
      </c>
      <c r="M144" s="3150">
        <v>77.13</v>
      </c>
      <c r="N144" s="3161">
        <v>97.84</v>
      </c>
      <c r="O144" s="3150">
        <v>77.13</v>
      </c>
      <c r="P144" s="3151">
        <v>9785</v>
      </c>
      <c r="Q144" s="3151">
        <v>12412.34</v>
      </c>
      <c r="R144" s="3151">
        <v>957364</v>
      </c>
      <c r="S144" s="3151">
        <v>11407.941500000001</v>
      </c>
      <c r="T144" s="3151">
        <v>14471.061799999999</v>
      </c>
      <c r="U144" s="3151">
        <v>1116153</v>
      </c>
      <c r="V144" s="3151">
        <v>10094</v>
      </c>
      <c r="W144" s="3151">
        <v>12804.32</v>
      </c>
      <c r="X144" s="3151">
        <v>987597</v>
      </c>
      <c r="Y144" s="3152">
        <v>987597</v>
      </c>
      <c r="Z144" s="3152">
        <v>0</v>
      </c>
      <c r="AA144" s="3153"/>
      <c r="AB144" s="3151">
        <v>987597</v>
      </c>
      <c r="AC144" s="3154">
        <v>43819</v>
      </c>
      <c r="AD144" s="3154">
        <v>44372.487411145834</v>
      </c>
      <c r="AE144" s="3154">
        <v>43847.564216666666</v>
      </c>
      <c r="AF144" s="3154">
        <v>44546</v>
      </c>
      <c r="AG144" s="3154">
        <v>44547</v>
      </c>
      <c r="AH144" s="3149"/>
      <c r="AI144" s="3149"/>
      <c r="AJ144" s="3154">
        <v>45199</v>
      </c>
      <c r="AK144" s="3149"/>
      <c r="AL144" s="3154">
        <v>43814</v>
      </c>
      <c r="AM144" s="3149" t="s">
        <v>3516</v>
      </c>
      <c r="AN144" s="3149" t="s">
        <v>3637</v>
      </c>
      <c r="AO144" s="3149" t="s">
        <v>3504</v>
      </c>
      <c r="AP144" s="3149" t="s">
        <v>3499</v>
      </c>
      <c r="AQ144" s="3149" t="s">
        <v>3499</v>
      </c>
      <c r="AR144" s="3149" t="s">
        <v>3519</v>
      </c>
      <c r="AS144" s="3149" t="s">
        <v>3520</v>
      </c>
      <c r="AT144" s="3149"/>
    </row>
    <row r="145" spans="1:46" ht="33.75">
      <c r="A145" s="3149">
        <v>137</v>
      </c>
      <c r="B145" s="3149" t="s">
        <v>3488</v>
      </c>
      <c r="C145" s="3149" t="s">
        <v>3489</v>
      </c>
      <c r="D145" s="3149" t="s">
        <v>3490</v>
      </c>
      <c r="E145" s="3149" t="s">
        <v>3631</v>
      </c>
      <c r="F145" s="3149" t="s">
        <v>3632</v>
      </c>
      <c r="G145" s="3149" t="s">
        <v>3532</v>
      </c>
      <c r="H145" s="3149" t="s">
        <v>3494</v>
      </c>
      <c r="I145" s="3149" t="s">
        <v>3633</v>
      </c>
      <c r="J145" s="3149" t="s">
        <v>3389</v>
      </c>
      <c r="K145" s="3149" t="s">
        <v>3496</v>
      </c>
      <c r="L145" s="3150">
        <v>97.84</v>
      </c>
      <c r="M145" s="3150">
        <v>77.13</v>
      </c>
      <c r="N145" s="3161">
        <v>97.84</v>
      </c>
      <c r="O145" s="3150">
        <v>77.13</v>
      </c>
      <c r="P145" s="3151">
        <v>9880</v>
      </c>
      <c r="Q145" s="3151">
        <v>12532.85</v>
      </c>
      <c r="R145" s="3151">
        <v>966659</v>
      </c>
      <c r="S145" s="3151">
        <v>11518.693799999999</v>
      </c>
      <c r="T145" s="3151">
        <v>14611.5519</v>
      </c>
      <c r="U145" s="3151">
        <v>1126989</v>
      </c>
      <c r="V145" s="3151">
        <v>10192</v>
      </c>
      <c r="W145" s="3151">
        <v>12928.63</v>
      </c>
      <c r="X145" s="3151">
        <v>997185</v>
      </c>
      <c r="Y145" s="3152">
        <v>997185</v>
      </c>
      <c r="Z145" s="3152">
        <v>0</v>
      </c>
      <c r="AA145" s="3153"/>
      <c r="AB145" s="3151">
        <v>997185</v>
      </c>
      <c r="AC145" s="3154">
        <v>43819</v>
      </c>
      <c r="AD145" s="3154">
        <v>44372.487411145834</v>
      </c>
      <c r="AE145" s="3154">
        <v>43847.564216666666</v>
      </c>
      <c r="AF145" s="3154">
        <v>44546</v>
      </c>
      <c r="AG145" s="3154">
        <v>44547</v>
      </c>
      <c r="AH145" s="3149"/>
      <c r="AI145" s="3149"/>
      <c r="AJ145" s="3154">
        <v>45199</v>
      </c>
      <c r="AK145" s="3149"/>
      <c r="AL145" s="3154">
        <v>43814</v>
      </c>
      <c r="AM145" s="3149" t="s">
        <v>3516</v>
      </c>
      <c r="AN145" s="3149" t="s">
        <v>3637</v>
      </c>
      <c r="AO145" s="3149" t="s">
        <v>3504</v>
      </c>
      <c r="AP145" s="3149" t="s">
        <v>3499</v>
      </c>
      <c r="AQ145" s="3149" t="s">
        <v>3499</v>
      </c>
      <c r="AR145" s="3149" t="s">
        <v>3519</v>
      </c>
      <c r="AS145" s="3149" t="s">
        <v>3520</v>
      </c>
      <c r="AT145" s="3149"/>
    </row>
    <row r="146" spans="1:46" ht="33.75">
      <c r="A146" s="3149">
        <v>138</v>
      </c>
      <c r="B146" s="3149" t="s">
        <v>3488</v>
      </c>
      <c r="C146" s="3149" t="s">
        <v>3489</v>
      </c>
      <c r="D146" s="3149" t="s">
        <v>3490</v>
      </c>
      <c r="E146" s="3149" t="s">
        <v>3631</v>
      </c>
      <c r="F146" s="3149" t="s">
        <v>3632</v>
      </c>
      <c r="G146" s="3149" t="s">
        <v>3534</v>
      </c>
      <c r="H146" s="3149" t="s">
        <v>3494</v>
      </c>
      <c r="I146" s="3149" t="s">
        <v>3633</v>
      </c>
      <c r="J146" s="3149" t="s">
        <v>3389</v>
      </c>
      <c r="K146" s="3149" t="s">
        <v>3496</v>
      </c>
      <c r="L146" s="3150">
        <v>97.84</v>
      </c>
      <c r="M146" s="3150">
        <v>77.13</v>
      </c>
      <c r="N146" s="3161">
        <v>97.84</v>
      </c>
      <c r="O146" s="3150">
        <v>77.13</v>
      </c>
      <c r="P146" s="3151">
        <v>11637</v>
      </c>
      <c r="Q146" s="3151">
        <v>14761.62</v>
      </c>
      <c r="R146" s="3151">
        <v>1138564</v>
      </c>
      <c r="S146" s="3151">
        <v>12244.327499999999</v>
      </c>
      <c r="T146" s="3151">
        <v>15532.0239</v>
      </c>
      <c r="U146" s="3151">
        <v>1197985</v>
      </c>
      <c r="V146" s="3151">
        <v>11055.16</v>
      </c>
      <c r="W146" s="3151">
        <v>14023.56</v>
      </c>
      <c r="X146" s="3151">
        <v>1081637</v>
      </c>
      <c r="Y146" s="3152">
        <v>1081637</v>
      </c>
      <c r="Z146" s="3152">
        <v>0</v>
      </c>
      <c r="AA146" s="3153"/>
      <c r="AB146" s="3151">
        <v>1081637</v>
      </c>
      <c r="AC146" s="3154">
        <v>43819</v>
      </c>
      <c r="AD146" s="3154">
        <v>43847.46574915509</v>
      </c>
      <c r="AE146" s="3154">
        <v>43847.564216666666</v>
      </c>
      <c r="AF146" s="3154">
        <v>43876</v>
      </c>
      <c r="AG146" s="3154">
        <v>43887</v>
      </c>
      <c r="AH146" s="3154">
        <v>45127</v>
      </c>
      <c r="AI146" s="3149"/>
      <c r="AJ146" s="3154">
        <v>44834</v>
      </c>
      <c r="AK146" s="3149"/>
      <c r="AL146" s="3154">
        <v>43814</v>
      </c>
      <c r="AM146" s="3149" t="s">
        <v>3416</v>
      </c>
      <c r="AN146" s="3149" t="s">
        <v>3646</v>
      </c>
      <c r="AO146" s="3149" t="s">
        <v>3595</v>
      </c>
      <c r="AP146" s="3149" t="s">
        <v>3577</v>
      </c>
      <c r="AQ146" s="3149"/>
      <c r="AR146" s="3149"/>
      <c r="AS146" s="3149"/>
      <c r="AT146" s="3149"/>
    </row>
    <row r="147" spans="1:46" ht="33.75">
      <c r="A147" s="3149">
        <v>139</v>
      </c>
      <c r="B147" s="3149" t="s">
        <v>3488</v>
      </c>
      <c r="C147" s="3149" t="s">
        <v>3489</v>
      </c>
      <c r="D147" s="3149" t="s">
        <v>3490</v>
      </c>
      <c r="E147" s="3149" t="s">
        <v>3631</v>
      </c>
      <c r="F147" s="3149" t="s">
        <v>3632</v>
      </c>
      <c r="G147" s="3149" t="s">
        <v>3536</v>
      </c>
      <c r="H147" s="3149" t="s">
        <v>3494</v>
      </c>
      <c r="I147" s="3149" t="s">
        <v>3633</v>
      </c>
      <c r="J147" s="3149" t="s">
        <v>3389</v>
      </c>
      <c r="K147" s="3149" t="s">
        <v>3496</v>
      </c>
      <c r="L147" s="3150">
        <v>134.38999999999999</v>
      </c>
      <c r="M147" s="3150">
        <v>105.94</v>
      </c>
      <c r="N147" s="3161">
        <v>134.38999999999999</v>
      </c>
      <c r="O147" s="3150">
        <v>105.94</v>
      </c>
      <c r="P147" s="3151">
        <v>8550</v>
      </c>
      <c r="Q147" s="3151">
        <v>10846.09</v>
      </c>
      <c r="R147" s="3151">
        <v>1149035</v>
      </c>
      <c r="S147" s="3151">
        <v>9968.1077000000005</v>
      </c>
      <c r="T147" s="3151">
        <v>12645.0255</v>
      </c>
      <c r="U147" s="3151">
        <v>1339614</v>
      </c>
      <c r="V147" s="3151">
        <v>9613.64</v>
      </c>
      <c r="W147" s="3151">
        <v>12195.37</v>
      </c>
      <c r="X147" s="3151">
        <v>1291977</v>
      </c>
      <c r="Y147" s="3152">
        <v>1291977</v>
      </c>
      <c r="Z147" s="3152">
        <v>0</v>
      </c>
      <c r="AA147" s="3153"/>
      <c r="AB147" s="3151">
        <v>1291977</v>
      </c>
      <c r="AC147" s="3154">
        <v>43819</v>
      </c>
      <c r="AD147" s="3154">
        <v>44372.487411145834</v>
      </c>
      <c r="AE147" s="3154">
        <v>43847.564216666666</v>
      </c>
      <c r="AF147" s="3149"/>
      <c r="AG147" s="3154">
        <v>45076</v>
      </c>
      <c r="AH147" s="3154">
        <v>45226</v>
      </c>
      <c r="AI147" s="3149"/>
      <c r="AJ147" s="3154">
        <v>44834</v>
      </c>
      <c r="AK147" s="3149"/>
      <c r="AL147" s="3154">
        <v>43814</v>
      </c>
      <c r="AM147" s="3149" t="s">
        <v>3416</v>
      </c>
      <c r="AN147" s="3149" t="s">
        <v>3647</v>
      </c>
      <c r="AO147" s="3149" t="s">
        <v>3527</v>
      </c>
      <c r="AP147" s="3149" t="s">
        <v>3499</v>
      </c>
      <c r="AQ147" s="3149" t="s">
        <v>3499</v>
      </c>
      <c r="AR147" s="3149" t="s">
        <v>3519</v>
      </c>
      <c r="AS147" s="3149" t="s">
        <v>3519</v>
      </c>
      <c r="AT147" s="3149"/>
    </row>
    <row r="148" spans="1:46" ht="33.75">
      <c r="A148" s="3149">
        <v>140</v>
      </c>
      <c r="B148" s="3149" t="s">
        <v>3488</v>
      </c>
      <c r="C148" s="3149" t="s">
        <v>3489</v>
      </c>
      <c r="D148" s="3149" t="s">
        <v>3490</v>
      </c>
      <c r="E148" s="3149" t="s">
        <v>3631</v>
      </c>
      <c r="F148" s="3149" t="s">
        <v>3632</v>
      </c>
      <c r="G148" s="3149" t="s">
        <v>3537</v>
      </c>
      <c r="H148" s="3149" t="s">
        <v>3494</v>
      </c>
      <c r="I148" s="3149" t="s">
        <v>3633</v>
      </c>
      <c r="J148" s="3149" t="s">
        <v>3389</v>
      </c>
      <c r="K148" s="3149" t="s">
        <v>3496</v>
      </c>
      <c r="L148" s="3150">
        <v>134.38999999999999</v>
      </c>
      <c r="M148" s="3150">
        <v>105.94</v>
      </c>
      <c r="N148" s="3161">
        <v>134.38999999999999</v>
      </c>
      <c r="O148" s="3150">
        <v>105.94</v>
      </c>
      <c r="P148" s="3151">
        <v>8550</v>
      </c>
      <c r="Q148" s="3151">
        <v>10846.09</v>
      </c>
      <c r="R148" s="3151">
        <v>1149035</v>
      </c>
      <c r="S148" s="3151">
        <v>9968.1077000000005</v>
      </c>
      <c r="T148" s="3151">
        <v>12645.0255</v>
      </c>
      <c r="U148" s="3151">
        <v>1339614</v>
      </c>
      <c r="V148" s="3151">
        <v>8550</v>
      </c>
      <c r="W148" s="3151">
        <v>10846.09</v>
      </c>
      <c r="X148" s="3151">
        <v>1149035</v>
      </c>
      <c r="Y148" s="3152">
        <v>1149035</v>
      </c>
      <c r="Z148" s="3152">
        <v>0</v>
      </c>
      <c r="AA148" s="3153"/>
      <c r="AB148" s="3151">
        <v>1149035</v>
      </c>
      <c r="AC148" s="3154">
        <v>43819</v>
      </c>
      <c r="AD148" s="3154">
        <v>44372.487411145834</v>
      </c>
      <c r="AE148" s="3154">
        <v>43847.564216666666</v>
      </c>
      <c r="AF148" s="3154">
        <v>44825</v>
      </c>
      <c r="AG148" s="3154">
        <v>44826</v>
      </c>
      <c r="AH148" s="3149"/>
      <c r="AI148" s="3149"/>
      <c r="AJ148" s="3154">
        <v>45199</v>
      </c>
      <c r="AK148" s="3149"/>
      <c r="AL148" s="3154">
        <v>43814</v>
      </c>
      <c r="AM148" s="3149" t="s">
        <v>3516</v>
      </c>
      <c r="AN148" s="3149" t="s">
        <v>3648</v>
      </c>
      <c r="AO148" s="3149" t="s">
        <v>3498</v>
      </c>
      <c r="AP148" s="3149" t="s">
        <v>3499</v>
      </c>
      <c r="AQ148" s="3149" t="s">
        <v>3499</v>
      </c>
      <c r="AR148" s="3149" t="s">
        <v>3519</v>
      </c>
      <c r="AS148" s="3149" t="s">
        <v>3520</v>
      </c>
      <c r="AT148" s="3149"/>
    </row>
    <row r="149" spans="1:46" ht="33.75">
      <c r="A149" s="3149">
        <v>141</v>
      </c>
      <c r="B149" s="3149" t="s">
        <v>3488</v>
      </c>
      <c r="C149" s="3149" t="s">
        <v>3489</v>
      </c>
      <c r="D149" s="3149" t="s">
        <v>3490</v>
      </c>
      <c r="E149" s="3149" t="s">
        <v>3631</v>
      </c>
      <c r="F149" s="3149" t="s">
        <v>3492</v>
      </c>
      <c r="G149" s="3149" t="s">
        <v>3493</v>
      </c>
      <c r="H149" s="3149" t="s">
        <v>3494</v>
      </c>
      <c r="I149" s="3149" t="s">
        <v>3633</v>
      </c>
      <c r="J149" s="3149" t="s">
        <v>3389</v>
      </c>
      <c r="K149" s="3149" t="s">
        <v>3496</v>
      </c>
      <c r="L149" s="3150">
        <v>97.84</v>
      </c>
      <c r="M149" s="3150">
        <v>77.13</v>
      </c>
      <c r="N149" s="3161">
        <v>97.84</v>
      </c>
      <c r="O149" s="3150">
        <v>77.13</v>
      </c>
      <c r="P149" s="3151">
        <v>13900</v>
      </c>
      <c r="Q149" s="3151">
        <v>17632.259999999998</v>
      </c>
      <c r="R149" s="3151">
        <v>1359976</v>
      </c>
      <c r="S149" s="3151">
        <v>13900</v>
      </c>
      <c r="T149" s="3151">
        <v>17632.2572</v>
      </c>
      <c r="U149" s="3151">
        <v>1359976</v>
      </c>
      <c r="V149" s="3151">
        <v>13205</v>
      </c>
      <c r="W149" s="3151">
        <v>16750.64</v>
      </c>
      <c r="X149" s="3151">
        <v>1291977</v>
      </c>
      <c r="Y149" s="3152">
        <v>1291977</v>
      </c>
      <c r="Z149" s="3152">
        <v>0</v>
      </c>
      <c r="AA149" s="3153"/>
      <c r="AB149" s="3151">
        <v>1291977</v>
      </c>
      <c r="AC149" s="3154">
        <v>43819</v>
      </c>
      <c r="AD149" s="3154">
        <v>43847.46574915509</v>
      </c>
      <c r="AE149" s="3154">
        <v>43847.564216666666</v>
      </c>
      <c r="AF149" s="3154">
        <v>43874</v>
      </c>
      <c r="AG149" s="3154">
        <v>43908</v>
      </c>
      <c r="AH149" s="3154">
        <v>44300</v>
      </c>
      <c r="AI149" s="3154">
        <v>44307</v>
      </c>
      <c r="AJ149" s="3154">
        <v>44834</v>
      </c>
      <c r="AK149" s="3149"/>
      <c r="AL149" s="3154">
        <v>43814</v>
      </c>
      <c r="AM149" s="3149" t="s">
        <v>3416</v>
      </c>
      <c r="AN149" s="3149" t="s">
        <v>3649</v>
      </c>
      <c r="AO149" s="3149" t="s">
        <v>3498</v>
      </c>
      <c r="AP149" s="3149" t="s">
        <v>3499</v>
      </c>
      <c r="AQ149" s="3149" t="s">
        <v>3499</v>
      </c>
      <c r="AR149" s="3149"/>
      <c r="AS149" s="3149"/>
      <c r="AT149" s="3149"/>
    </row>
    <row r="150" spans="1:46" ht="33.75">
      <c r="A150" s="3149">
        <v>142</v>
      </c>
      <c r="B150" s="3149" t="s">
        <v>3488</v>
      </c>
      <c r="C150" s="3149" t="s">
        <v>3489</v>
      </c>
      <c r="D150" s="3149" t="s">
        <v>3490</v>
      </c>
      <c r="E150" s="3149" t="s">
        <v>3631</v>
      </c>
      <c r="F150" s="3149" t="s">
        <v>3492</v>
      </c>
      <c r="G150" s="3149" t="s">
        <v>3502</v>
      </c>
      <c r="H150" s="3149" t="s">
        <v>3509</v>
      </c>
      <c r="I150" s="3149" t="s">
        <v>3633</v>
      </c>
      <c r="J150" s="3149" t="s">
        <v>3389</v>
      </c>
      <c r="K150" s="3149" t="s">
        <v>3496</v>
      </c>
      <c r="L150" s="3150">
        <v>97.84</v>
      </c>
      <c r="M150" s="3150">
        <v>77.13</v>
      </c>
      <c r="N150" s="3161">
        <v>97.84</v>
      </c>
      <c r="O150" s="3150">
        <v>77.13</v>
      </c>
      <c r="P150" s="3151">
        <v>5900</v>
      </c>
      <c r="Q150" s="3151">
        <v>7484.2</v>
      </c>
      <c r="R150" s="3151">
        <v>577256</v>
      </c>
      <c r="S150" s="3151">
        <v>5900</v>
      </c>
      <c r="T150" s="3151">
        <v>7484.1954999999998</v>
      </c>
      <c r="U150" s="3151">
        <v>577256</v>
      </c>
      <c r="V150" s="3153"/>
      <c r="W150" s="3153"/>
      <c r="X150" s="3153"/>
      <c r="Y150" s="3153"/>
      <c r="Z150" s="3152">
        <v>0</v>
      </c>
      <c r="AA150" s="3153"/>
      <c r="AB150" s="3151">
        <v>0</v>
      </c>
      <c r="AC150" s="3154">
        <v>43819</v>
      </c>
      <c r="AD150" s="3154">
        <v>45264.773614039354</v>
      </c>
      <c r="AE150" s="3154">
        <v>43847.564216666666</v>
      </c>
      <c r="AF150" s="3149"/>
      <c r="AG150" s="3149"/>
      <c r="AH150" s="3149"/>
      <c r="AI150" s="3149"/>
      <c r="AJ150" s="3149"/>
      <c r="AK150" s="3149"/>
      <c r="AL150" s="3154">
        <v>43814</v>
      </c>
      <c r="AM150" s="3149"/>
      <c r="AN150" s="3149"/>
      <c r="AO150" s="3149"/>
      <c r="AP150" s="3149"/>
      <c r="AQ150" s="3149"/>
      <c r="AR150" s="3149"/>
      <c r="AS150" s="3149"/>
      <c r="AT150" s="3149"/>
    </row>
    <row r="151" spans="1:46" ht="33.75">
      <c r="A151" s="3149">
        <v>143</v>
      </c>
      <c r="B151" s="3149" t="s">
        <v>3488</v>
      </c>
      <c r="C151" s="3149" t="s">
        <v>3489</v>
      </c>
      <c r="D151" s="3149" t="s">
        <v>3490</v>
      </c>
      <c r="E151" s="3149" t="s">
        <v>3631</v>
      </c>
      <c r="F151" s="3149" t="s">
        <v>3492</v>
      </c>
      <c r="G151" s="3149" t="s">
        <v>3508</v>
      </c>
      <c r="H151" s="3149" t="s">
        <v>3494</v>
      </c>
      <c r="I151" s="3149" t="s">
        <v>3633</v>
      </c>
      <c r="J151" s="3149" t="s">
        <v>3389</v>
      </c>
      <c r="K151" s="3149" t="s">
        <v>3496</v>
      </c>
      <c r="L151" s="3150">
        <v>97.84</v>
      </c>
      <c r="M151" s="3150">
        <v>77.13</v>
      </c>
      <c r="N151" s="3161">
        <v>97.84</v>
      </c>
      <c r="O151" s="3150">
        <v>77.13</v>
      </c>
      <c r="P151" s="3151">
        <v>10220.77</v>
      </c>
      <c r="Q151" s="3151">
        <v>12965.12</v>
      </c>
      <c r="R151" s="3151">
        <v>1000000</v>
      </c>
      <c r="S151" s="3151">
        <v>10754.1803</v>
      </c>
      <c r="T151" s="3151">
        <v>13641.760700000001</v>
      </c>
      <c r="U151" s="3151">
        <v>1052189</v>
      </c>
      <c r="V151" s="3151">
        <v>10220.77</v>
      </c>
      <c r="W151" s="3151">
        <v>12965.12</v>
      </c>
      <c r="X151" s="3151">
        <v>1000000</v>
      </c>
      <c r="Y151" s="3152">
        <v>1000000</v>
      </c>
      <c r="Z151" s="3152">
        <v>0</v>
      </c>
      <c r="AA151" s="3153"/>
      <c r="AB151" s="3151">
        <v>1000000</v>
      </c>
      <c r="AC151" s="3154">
        <v>43819</v>
      </c>
      <c r="AD151" s="3154">
        <v>43847.46574915509</v>
      </c>
      <c r="AE151" s="3154">
        <v>43847.564216666666</v>
      </c>
      <c r="AF151" s="3154">
        <v>43872</v>
      </c>
      <c r="AG151" s="3154">
        <v>43902</v>
      </c>
      <c r="AH151" s="3154">
        <v>43943</v>
      </c>
      <c r="AI151" s="3154">
        <v>43956</v>
      </c>
      <c r="AJ151" s="3154">
        <v>44834</v>
      </c>
      <c r="AK151" s="3149"/>
      <c r="AL151" s="3154">
        <v>43814</v>
      </c>
      <c r="AM151" s="3149" t="s">
        <v>3416</v>
      </c>
      <c r="AN151" s="3149" t="s">
        <v>3650</v>
      </c>
      <c r="AO151" s="3149" t="s">
        <v>3540</v>
      </c>
      <c r="AP151" s="3149" t="s">
        <v>3499</v>
      </c>
      <c r="AQ151" s="3149" t="s">
        <v>3499</v>
      </c>
      <c r="AR151" s="3149"/>
      <c r="AS151" s="3149"/>
      <c r="AT151" s="3149"/>
    </row>
    <row r="152" spans="1:46" ht="33.75">
      <c r="A152" s="3149">
        <v>144</v>
      </c>
      <c r="B152" s="3149" t="s">
        <v>3488</v>
      </c>
      <c r="C152" s="3149" t="s">
        <v>3489</v>
      </c>
      <c r="D152" s="3149" t="s">
        <v>3490</v>
      </c>
      <c r="E152" s="3149" t="s">
        <v>3631</v>
      </c>
      <c r="F152" s="3149" t="s">
        <v>3492</v>
      </c>
      <c r="G152" s="3149" t="s">
        <v>3510</v>
      </c>
      <c r="H152" s="3149" t="s">
        <v>3494</v>
      </c>
      <c r="I152" s="3149" t="s">
        <v>3633</v>
      </c>
      <c r="J152" s="3149" t="s">
        <v>3389</v>
      </c>
      <c r="K152" s="3149" t="s">
        <v>3496</v>
      </c>
      <c r="L152" s="3150">
        <v>97.84</v>
      </c>
      <c r="M152" s="3150">
        <v>77.13</v>
      </c>
      <c r="N152" s="3161">
        <v>97.84</v>
      </c>
      <c r="O152" s="3150">
        <v>77.13</v>
      </c>
      <c r="P152" s="3151">
        <v>10220.77</v>
      </c>
      <c r="Q152" s="3151">
        <v>12965.12</v>
      </c>
      <c r="R152" s="3151">
        <v>1000000</v>
      </c>
      <c r="S152" s="3151">
        <v>10754.1803</v>
      </c>
      <c r="T152" s="3151">
        <v>13641.760700000001</v>
      </c>
      <c r="U152" s="3151">
        <v>1052189</v>
      </c>
      <c r="V152" s="3151">
        <v>10220.77</v>
      </c>
      <c r="W152" s="3151">
        <v>12965.12</v>
      </c>
      <c r="X152" s="3151">
        <v>1000000</v>
      </c>
      <c r="Y152" s="3152">
        <v>1000000</v>
      </c>
      <c r="Z152" s="3152">
        <v>0</v>
      </c>
      <c r="AA152" s="3153"/>
      <c r="AB152" s="3151">
        <v>1000000</v>
      </c>
      <c r="AC152" s="3154">
        <v>43819</v>
      </c>
      <c r="AD152" s="3154">
        <v>43847.46574915509</v>
      </c>
      <c r="AE152" s="3154">
        <v>43847.564216666666</v>
      </c>
      <c r="AF152" s="3154">
        <v>43865</v>
      </c>
      <c r="AG152" s="3154">
        <v>43902</v>
      </c>
      <c r="AH152" s="3154">
        <v>43942</v>
      </c>
      <c r="AI152" s="3154">
        <v>43949</v>
      </c>
      <c r="AJ152" s="3154">
        <v>44834</v>
      </c>
      <c r="AK152" s="3149"/>
      <c r="AL152" s="3154">
        <v>43814</v>
      </c>
      <c r="AM152" s="3149" t="s">
        <v>3416</v>
      </c>
      <c r="AN152" s="3149" t="s">
        <v>3651</v>
      </c>
      <c r="AO152" s="3149" t="s">
        <v>3591</v>
      </c>
      <c r="AP152" s="3149" t="s">
        <v>3499</v>
      </c>
      <c r="AQ152" s="3149" t="s">
        <v>3499</v>
      </c>
      <c r="AR152" s="3149"/>
      <c r="AS152" s="3149"/>
      <c r="AT152" s="3149"/>
    </row>
    <row r="153" spans="1:46" ht="33.75">
      <c r="A153" s="3149">
        <v>145</v>
      </c>
      <c r="B153" s="3149" t="s">
        <v>3488</v>
      </c>
      <c r="C153" s="3149" t="s">
        <v>3489</v>
      </c>
      <c r="D153" s="3149" t="s">
        <v>3490</v>
      </c>
      <c r="E153" s="3149" t="s">
        <v>3631</v>
      </c>
      <c r="F153" s="3149" t="s">
        <v>3492</v>
      </c>
      <c r="G153" s="3149" t="s">
        <v>3511</v>
      </c>
      <c r="H153" s="3149" t="s">
        <v>3494</v>
      </c>
      <c r="I153" s="3149" t="s">
        <v>3633</v>
      </c>
      <c r="J153" s="3149" t="s">
        <v>3389</v>
      </c>
      <c r="K153" s="3149" t="s">
        <v>3496</v>
      </c>
      <c r="L153" s="3150">
        <v>97.84</v>
      </c>
      <c r="M153" s="3150">
        <v>77.13</v>
      </c>
      <c r="N153" s="3161">
        <v>97.84</v>
      </c>
      <c r="O153" s="3150">
        <v>77.13</v>
      </c>
      <c r="P153" s="3151">
        <v>9499.0499999999993</v>
      </c>
      <c r="Q153" s="3151">
        <v>12049.62</v>
      </c>
      <c r="R153" s="3151">
        <v>929387</v>
      </c>
      <c r="S153" s="3151">
        <v>11074.5707</v>
      </c>
      <c r="T153" s="3151">
        <v>14048.178400000001</v>
      </c>
      <c r="U153" s="3151">
        <v>1083536</v>
      </c>
      <c r="V153" s="3151">
        <v>9799.0300000000007</v>
      </c>
      <c r="W153" s="3151">
        <v>12430.14</v>
      </c>
      <c r="X153" s="3151">
        <v>958737</v>
      </c>
      <c r="Y153" s="3152">
        <v>958737</v>
      </c>
      <c r="Z153" s="3152">
        <v>0</v>
      </c>
      <c r="AA153" s="3153"/>
      <c r="AB153" s="3151">
        <v>958737</v>
      </c>
      <c r="AC153" s="3154">
        <v>43819</v>
      </c>
      <c r="AD153" s="3154">
        <v>44372.487411145834</v>
      </c>
      <c r="AE153" s="3154">
        <v>43847.564216666666</v>
      </c>
      <c r="AF153" s="3154">
        <v>44546</v>
      </c>
      <c r="AG153" s="3154">
        <v>44547</v>
      </c>
      <c r="AH153" s="3149"/>
      <c r="AI153" s="3149"/>
      <c r="AJ153" s="3154">
        <v>45199</v>
      </c>
      <c r="AK153" s="3149"/>
      <c r="AL153" s="3154">
        <v>43814</v>
      </c>
      <c r="AM153" s="3149" t="s">
        <v>3516</v>
      </c>
      <c r="AN153" s="3149" t="s">
        <v>3637</v>
      </c>
      <c r="AO153" s="3149" t="s">
        <v>3540</v>
      </c>
      <c r="AP153" s="3149" t="s">
        <v>3499</v>
      </c>
      <c r="AQ153" s="3149" t="s">
        <v>3499</v>
      </c>
      <c r="AR153" s="3149" t="s">
        <v>3519</v>
      </c>
      <c r="AS153" s="3149" t="s">
        <v>3520</v>
      </c>
      <c r="AT153" s="3149"/>
    </row>
    <row r="154" spans="1:46" ht="33.75">
      <c r="A154" s="3149">
        <v>146</v>
      </c>
      <c r="B154" s="3149" t="s">
        <v>3488</v>
      </c>
      <c r="C154" s="3149" t="s">
        <v>3489</v>
      </c>
      <c r="D154" s="3149" t="s">
        <v>3490</v>
      </c>
      <c r="E154" s="3149" t="s">
        <v>3631</v>
      </c>
      <c r="F154" s="3149" t="s">
        <v>3492</v>
      </c>
      <c r="G154" s="3149" t="s">
        <v>3512</v>
      </c>
      <c r="H154" s="3149" t="s">
        <v>3494</v>
      </c>
      <c r="I154" s="3149" t="s">
        <v>3633</v>
      </c>
      <c r="J154" s="3149" t="s">
        <v>3389</v>
      </c>
      <c r="K154" s="3149" t="s">
        <v>3496</v>
      </c>
      <c r="L154" s="3150">
        <v>97.84</v>
      </c>
      <c r="M154" s="3150">
        <v>77.13</v>
      </c>
      <c r="N154" s="3161">
        <v>97.84</v>
      </c>
      <c r="O154" s="3150">
        <v>77.13</v>
      </c>
      <c r="P154" s="3151">
        <v>10001.02</v>
      </c>
      <c r="Q154" s="3151">
        <v>12686.37</v>
      </c>
      <c r="R154" s="3151">
        <v>978500</v>
      </c>
      <c r="S154" s="3151">
        <v>11076.7989</v>
      </c>
      <c r="T154" s="3151">
        <v>14051.004800000001</v>
      </c>
      <c r="U154" s="3151">
        <v>1083754</v>
      </c>
      <c r="V154" s="3151">
        <v>10001.02</v>
      </c>
      <c r="W154" s="3151">
        <v>12686.37</v>
      </c>
      <c r="X154" s="3151">
        <v>978500</v>
      </c>
      <c r="Y154" s="3152">
        <v>978500</v>
      </c>
      <c r="Z154" s="3152">
        <v>0</v>
      </c>
      <c r="AA154" s="3153"/>
      <c r="AB154" s="3151">
        <v>978500</v>
      </c>
      <c r="AC154" s="3154">
        <v>43819</v>
      </c>
      <c r="AD154" s="3154">
        <v>43915.685597453703</v>
      </c>
      <c r="AE154" s="3154">
        <v>43847.564216666666</v>
      </c>
      <c r="AF154" s="3154">
        <v>43992</v>
      </c>
      <c r="AG154" s="3154">
        <v>43993</v>
      </c>
      <c r="AH154" s="3154">
        <v>44002</v>
      </c>
      <c r="AI154" s="3154">
        <v>44012</v>
      </c>
      <c r="AJ154" s="3154">
        <v>44834</v>
      </c>
      <c r="AK154" s="3149"/>
      <c r="AL154" s="3154">
        <v>43814</v>
      </c>
      <c r="AM154" s="3149" t="s">
        <v>3416</v>
      </c>
      <c r="AN154" s="3149" t="s">
        <v>3652</v>
      </c>
      <c r="AO154" s="3149" t="s">
        <v>3622</v>
      </c>
      <c r="AP154" s="3149" t="s">
        <v>3499</v>
      </c>
      <c r="AQ154" s="3149" t="s">
        <v>3499</v>
      </c>
      <c r="AR154" s="3149" t="s">
        <v>3505</v>
      </c>
      <c r="AS154" s="3149" t="s">
        <v>3506</v>
      </c>
      <c r="AT154" s="3149" t="s">
        <v>3507</v>
      </c>
    </row>
    <row r="155" spans="1:46" ht="33.75">
      <c r="A155" s="3149">
        <v>147</v>
      </c>
      <c r="B155" s="3149" t="s">
        <v>3488</v>
      </c>
      <c r="C155" s="3149" t="s">
        <v>3489</v>
      </c>
      <c r="D155" s="3149" t="s">
        <v>3490</v>
      </c>
      <c r="E155" s="3149" t="s">
        <v>3631</v>
      </c>
      <c r="F155" s="3149" t="s">
        <v>3492</v>
      </c>
      <c r="G155" s="3149" t="s">
        <v>3513</v>
      </c>
      <c r="H155" s="3149" t="s">
        <v>3494</v>
      </c>
      <c r="I155" s="3149" t="s">
        <v>3633</v>
      </c>
      <c r="J155" s="3149" t="s">
        <v>3389</v>
      </c>
      <c r="K155" s="3149" t="s">
        <v>3496</v>
      </c>
      <c r="L155" s="3150">
        <v>97.84</v>
      </c>
      <c r="M155" s="3150">
        <v>77.13</v>
      </c>
      <c r="N155" s="3161">
        <v>97.84</v>
      </c>
      <c r="O155" s="3150">
        <v>77.13</v>
      </c>
      <c r="P155" s="3151">
        <v>11137</v>
      </c>
      <c r="Q155" s="3151">
        <v>14127.37</v>
      </c>
      <c r="R155" s="3151">
        <v>1089644</v>
      </c>
      <c r="S155" s="3151">
        <v>11718.223599999999</v>
      </c>
      <c r="T155" s="3151">
        <v>14864.6571</v>
      </c>
      <c r="U155" s="3151">
        <v>1146511</v>
      </c>
      <c r="V155" s="3151">
        <v>10580.15</v>
      </c>
      <c r="W155" s="3151">
        <v>13421</v>
      </c>
      <c r="X155" s="3151">
        <v>1035162</v>
      </c>
      <c r="Y155" s="3152">
        <v>1035162</v>
      </c>
      <c r="Z155" s="3152">
        <v>0</v>
      </c>
      <c r="AA155" s="3153"/>
      <c r="AB155" s="3151">
        <v>1035162</v>
      </c>
      <c r="AC155" s="3154">
        <v>43819</v>
      </c>
      <c r="AD155" s="3154">
        <v>43847.46574915509</v>
      </c>
      <c r="AE155" s="3154">
        <v>43847.564216666666</v>
      </c>
      <c r="AF155" s="3154">
        <v>43882</v>
      </c>
      <c r="AG155" s="3154">
        <v>43887</v>
      </c>
      <c r="AH155" s="3154">
        <v>45093</v>
      </c>
      <c r="AI155" s="3154">
        <v>45107</v>
      </c>
      <c r="AJ155" s="3154">
        <v>44834</v>
      </c>
      <c r="AK155" s="3149"/>
      <c r="AL155" s="3154">
        <v>43814</v>
      </c>
      <c r="AM155" s="3149" t="s">
        <v>3416</v>
      </c>
      <c r="AN155" s="3149" t="s">
        <v>3653</v>
      </c>
      <c r="AO155" s="3149" t="s">
        <v>3527</v>
      </c>
      <c r="AP155" s="3149" t="s">
        <v>3499</v>
      </c>
      <c r="AQ155" s="3149" t="s">
        <v>3499</v>
      </c>
      <c r="AR155" s="3149"/>
      <c r="AS155" s="3149"/>
      <c r="AT155" s="3149"/>
    </row>
    <row r="156" spans="1:46" ht="33.75">
      <c r="A156" s="3149">
        <v>148</v>
      </c>
      <c r="B156" s="3149" t="s">
        <v>3488</v>
      </c>
      <c r="C156" s="3149" t="s">
        <v>3489</v>
      </c>
      <c r="D156" s="3149" t="s">
        <v>3490</v>
      </c>
      <c r="E156" s="3149" t="s">
        <v>3631</v>
      </c>
      <c r="F156" s="3149" t="s">
        <v>3492</v>
      </c>
      <c r="G156" s="3149" t="s">
        <v>3514</v>
      </c>
      <c r="H156" s="3149" t="s">
        <v>3494</v>
      </c>
      <c r="I156" s="3149" t="s">
        <v>3633</v>
      </c>
      <c r="J156" s="3149" t="s">
        <v>3389</v>
      </c>
      <c r="K156" s="3149" t="s">
        <v>3496</v>
      </c>
      <c r="L156" s="3150">
        <v>97.84</v>
      </c>
      <c r="M156" s="3150">
        <v>77.13</v>
      </c>
      <c r="N156" s="3161">
        <v>97.84</v>
      </c>
      <c r="O156" s="3150">
        <v>77.13</v>
      </c>
      <c r="P156" s="3151">
        <v>10023.299999999999</v>
      </c>
      <c r="Q156" s="3151">
        <v>12714.64</v>
      </c>
      <c r="R156" s="3151">
        <v>980680</v>
      </c>
      <c r="S156" s="3151">
        <v>11685.7727</v>
      </c>
      <c r="T156" s="3151">
        <v>14823.4928</v>
      </c>
      <c r="U156" s="3151">
        <v>1143336</v>
      </c>
      <c r="V156" s="3151">
        <v>10023.299999999999</v>
      </c>
      <c r="W156" s="3151">
        <v>12714.64</v>
      </c>
      <c r="X156" s="3151">
        <v>980680</v>
      </c>
      <c r="Y156" s="3152">
        <v>980680</v>
      </c>
      <c r="Z156" s="3152">
        <v>0</v>
      </c>
      <c r="AA156" s="3153"/>
      <c r="AB156" s="3151">
        <v>980680</v>
      </c>
      <c r="AC156" s="3154">
        <v>43819</v>
      </c>
      <c r="AD156" s="3154">
        <v>44538.684577083332</v>
      </c>
      <c r="AE156" s="3154">
        <v>43847.564216666666</v>
      </c>
      <c r="AF156" s="3154">
        <v>44559</v>
      </c>
      <c r="AG156" s="3154">
        <v>44559</v>
      </c>
      <c r="AH156" s="3149"/>
      <c r="AI156" s="3149"/>
      <c r="AJ156" s="3154">
        <v>45199</v>
      </c>
      <c r="AK156" s="3149"/>
      <c r="AL156" s="3154">
        <v>43814</v>
      </c>
      <c r="AM156" s="3149" t="s">
        <v>3516</v>
      </c>
      <c r="AN156" s="3149" t="s">
        <v>3582</v>
      </c>
      <c r="AO156" s="3149" t="s">
        <v>3504</v>
      </c>
      <c r="AP156" s="3149" t="s">
        <v>3499</v>
      </c>
      <c r="AQ156" s="3149" t="s">
        <v>3499</v>
      </c>
      <c r="AR156" s="3149" t="s">
        <v>3519</v>
      </c>
      <c r="AS156" s="3149" t="s">
        <v>3520</v>
      </c>
      <c r="AT156" s="3149"/>
    </row>
    <row r="157" spans="1:46" ht="33.75">
      <c r="A157" s="3149">
        <v>149</v>
      </c>
      <c r="B157" s="3149" t="s">
        <v>3488</v>
      </c>
      <c r="C157" s="3149" t="s">
        <v>3489</v>
      </c>
      <c r="D157" s="3149" t="s">
        <v>3490</v>
      </c>
      <c r="E157" s="3149" t="s">
        <v>3631</v>
      </c>
      <c r="F157" s="3149" t="s">
        <v>3492</v>
      </c>
      <c r="G157" s="3149" t="s">
        <v>3515</v>
      </c>
      <c r="H157" s="3149" t="s">
        <v>3494</v>
      </c>
      <c r="I157" s="3149" t="s">
        <v>3633</v>
      </c>
      <c r="J157" s="3149" t="s">
        <v>3389</v>
      </c>
      <c r="K157" s="3149" t="s">
        <v>3496</v>
      </c>
      <c r="L157" s="3150">
        <v>97.84</v>
      </c>
      <c r="M157" s="3150">
        <v>77.13</v>
      </c>
      <c r="N157" s="3161">
        <v>97.84</v>
      </c>
      <c r="O157" s="3150">
        <v>77.13</v>
      </c>
      <c r="P157" s="3151">
        <v>9595</v>
      </c>
      <c r="Q157" s="3151">
        <v>12171.33</v>
      </c>
      <c r="R157" s="3151">
        <v>938775</v>
      </c>
      <c r="S157" s="3151">
        <v>11186.437</v>
      </c>
      <c r="T157" s="3151">
        <v>14190.081700000001</v>
      </c>
      <c r="U157" s="3151">
        <v>1094481</v>
      </c>
      <c r="V157" s="3151">
        <v>9898.01</v>
      </c>
      <c r="W157" s="3151">
        <v>12555.7</v>
      </c>
      <c r="X157" s="3151">
        <v>968421</v>
      </c>
      <c r="Y157" s="3152">
        <v>968421</v>
      </c>
      <c r="Z157" s="3152">
        <v>0</v>
      </c>
      <c r="AA157" s="3153"/>
      <c r="AB157" s="3151">
        <v>968421</v>
      </c>
      <c r="AC157" s="3154">
        <v>43819</v>
      </c>
      <c r="AD157" s="3154">
        <v>44372.487411145834</v>
      </c>
      <c r="AE157" s="3154">
        <v>43847.564216666666</v>
      </c>
      <c r="AF157" s="3154">
        <v>44546</v>
      </c>
      <c r="AG157" s="3154">
        <v>44547</v>
      </c>
      <c r="AH157" s="3149"/>
      <c r="AI157" s="3149"/>
      <c r="AJ157" s="3154">
        <v>45199</v>
      </c>
      <c r="AK157" s="3149"/>
      <c r="AL157" s="3154">
        <v>43814</v>
      </c>
      <c r="AM157" s="3149" t="s">
        <v>3516</v>
      </c>
      <c r="AN157" s="3149" t="s">
        <v>3637</v>
      </c>
      <c r="AO157" s="3149" t="s">
        <v>3540</v>
      </c>
      <c r="AP157" s="3149" t="s">
        <v>3499</v>
      </c>
      <c r="AQ157" s="3149" t="s">
        <v>3499</v>
      </c>
      <c r="AR157" s="3149" t="s">
        <v>3519</v>
      </c>
      <c r="AS157" s="3149" t="s">
        <v>3520</v>
      </c>
      <c r="AT157" s="3149"/>
    </row>
    <row r="158" spans="1:46" ht="33.75">
      <c r="A158" s="3149">
        <v>150</v>
      </c>
      <c r="B158" s="3149" t="s">
        <v>3488</v>
      </c>
      <c r="C158" s="3149" t="s">
        <v>3489</v>
      </c>
      <c r="D158" s="3149" t="s">
        <v>3490</v>
      </c>
      <c r="E158" s="3149" t="s">
        <v>3631</v>
      </c>
      <c r="F158" s="3149" t="s">
        <v>3492</v>
      </c>
      <c r="G158" s="3149" t="s">
        <v>3521</v>
      </c>
      <c r="H158" s="3149" t="s">
        <v>3494</v>
      </c>
      <c r="I158" s="3149" t="s">
        <v>3633</v>
      </c>
      <c r="J158" s="3149" t="s">
        <v>3389</v>
      </c>
      <c r="K158" s="3149" t="s">
        <v>3496</v>
      </c>
      <c r="L158" s="3150">
        <v>97.84</v>
      </c>
      <c r="M158" s="3150">
        <v>77.13</v>
      </c>
      <c r="N158" s="3161">
        <v>97.84</v>
      </c>
      <c r="O158" s="3150">
        <v>77.13</v>
      </c>
      <c r="P158" s="3151">
        <v>9595</v>
      </c>
      <c r="Q158" s="3151">
        <v>12171.33</v>
      </c>
      <c r="R158" s="3151">
        <v>938775</v>
      </c>
      <c r="S158" s="3151">
        <v>11186.437</v>
      </c>
      <c r="T158" s="3151">
        <v>14190.081700000001</v>
      </c>
      <c r="U158" s="3151">
        <v>1094481</v>
      </c>
      <c r="V158" s="3151">
        <v>9595.01</v>
      </c>
      <c r="W158" s="3151">
        <v>12171.35</v>
      </c>
      <c r="X158" s="3151">
        <v>938776</v>
      </c>
      <c r="Y158" s="3152">
        <v>938776</v>
      </c>
      <c r="Z158" s="3152">
        <v>0</v>
      </c>
      <c r="AA158" s="3153"/>
      <c r="AB158" s="3151">
        <v>938776</v>
      </c>
      <c r="AC158" s="3154">
        <v>43819</v>
      </c>
      <c r="AD158" s="3154">
        <v>44372.487411145834</v>
      </c>
      <c r="AE158" s="3154">
        <v>43847.564216666666</v>
      </c>
      <c r="AF158" s="3154">
        <v>44439</v>
      </c>
      <c r="AG158" s="3154">
        <v>44439</v>
      </c>
      <c r="AH158" s="3149"/>
      <c r="AI158" s="3149"/>
      <c r="AJ158" s="3154">
        <v>45199</v>
      </c>
      <c r="AK158" s="3149"/>
      <c r="AL158" s="3154">
        <v>43814</v>
      </c>
      <c r="AM158" s="3149" t="s">
        <v>3516</v>
      </c>
      <c r="AN158" s="3149" t="s">
        <v>3654</v>
      </c>
      <c r="AO158" s="3149" t="s">
        <v>3638</v>
      </c>
      <c r="AP158" s="3149" t="s">
        <v>3499</v>
      </c>
      <c r="AQ158" s="3149" t="s">
        <v>3499</v>
      </c>
      <c r="AR158" s="3149" t="s">
        <v>3519</v>
      </c>
      <c r="AS158" s="3149" t="s">
        <v>3520</v>
      </c>
      <c r="AT158" s="3149"/>
    </row>
    <row r="159" spans="1:46" ht="33.75">
      <c r="A159" s="3149">
        <v>151</v>
      </c>
      <c r="B159" s="3149" t="s">
        <v>3488</v>
      </c>
      <c r="C159" s="3149" t="s">
        <v>3489</v>
      </c>
      <c r="D159" s="3149" t="s">
        <v>3490</v>
      </c>
      <c r="E159" s="3149" t="s">
        <v>3631</v>
      </c>
      <c r="F159" s="3149" t="s">
        <v>3492</v>
      </c>
      <c r="G159" s="3149" t="s">
        <v>3522</v>
      </c>
      <c r="H159" s="3149" t="s">
        <v>3494</v>
      </c>
      <c r="I159" s="3149" t="s">
        <v>3633</v>
      </c>
      <c r="J159" s="3149" t="s">
        <v>3389</v>
      </c>
      <c r="K159" s="3149" t="s">
        <v>3496</v>
      </c>
      <c r="L159" s="3150">
        <v>97.84</v>
      </c>
      <c r="M159" s="3150">
        <v>77.13</v>
      </c>
      <c r="N159" s="3161">
        <v>97.84</v>
      </c>
      <c r="O159" s="3150">
        <v>77.13</v>
      </c>
      <c r="P159" s="3151">
        <v>9999</v>
      </c>
      <c r="Q159" s="3151">
        <v>12683.81</v>
      </c>
      <c r="R159" s="3151">
        <v>978302</v>
      </c>
      <c r="S159" s="3151">
        <v>11928.6693</v>
      </c>
      <c r="T159" s="3151">
        <v>15131.609</v>
      </c>
      <c r="U159" s="3151">
        <v>1167101</v>
      </c>
      <c r="V159" s="3151">
        <v>9999</v>
      </c>
      <c r="W159" s="3151">
        <v>12683.81</v>
      </c>
      <c r="X159" s="3151">
        <v>978302</v>
      </c>
      <c r="Y159" s="3152">
        <v>978302</v>
      </c>
      <c r="Z159" s="3152">
        <v>0</v>
      </c>
      <c r="AA159" s="3153"/>
      <c r="AB159" s="3151">
        <v>978302</v>
      </c>
      <c r="AC159" s="3154">
        <v>43819</v>
      </c>
      <c r="AD159" s="3154">
        <v>44081.738156053238</v>
      </c>
      <c r="AE159" s="3154">
        <v>43847.564216666666</v>
      </c>
      <c r="AF159" s="3154">
        <v>44125</v>
      </c>
      <c r="AG159" s="3154">
        <v>44125</v>
      </c>
      <c r="AH159" s="3154">
        <v>44141</v>
      </c>
      <c r="AI159" s="3154">
        <v>44159</v>
      </c>
      <c r="AJ159" s="3154">
        <v>44834</v>
      </c>
      <c r="AK159" s="3149"/>
      <c r="AL159" s="3154">
        <v>43814</v>
      </c>
      <c r="AM159" s="3149" t="s">
        <v>3416</v>
      </c>
      <c r="AN159" s="3149" t="s">
        <v>3655</v>
      </c>
      <c r="AO159" s="3149" t="s">
        <v>3656</v>
      </c>
      <c r="AP159" s="3149"/>
      <c r="AQ159" s="3149"/>
      <c r="AR159" s="3149" t="s">
        <v>3505</v>
      </c>
      <c r="AS159" s="3149" t="s">
        <v>3561</v>
      </c>
      <c r="AT159" s="3149" t="s">
        <v>3519</v>
      </c>
    </row>
    <row r="160" spans="1:46" ht="33.75">
      <c r="A160" s="3149">
        <v>152</v>
      </c>
      <c r="B160" s="3149" t="s">
        <v>3488</v>
      </c>
      <c r="C160" s="3149" t="s">
        <v>3489</v>
      </c>
      <c r="D160" s="3149" t="s">
        <v>3490</v>
      </c>
      <c r="E160" s="3149" t="s">
        <v>3631</v>
      </c>
      <c r="F160" s="3149" t="s">
        <v>3492</v>
      </c>
      <c r="G160" s="3149" t="s">
        <v>3523</v>
      </c>
      <c r="H160" s="3149" t="s">
        <v>3494</v>
      </c>
      <c r="I160" s="3149" t="s">
        <v>3633</v>
      </c>
      <c r="J160" s="3149" t="s">
        <v>3389</v>
      </c>
      <c r="K160" s="3149" t="s">
        <v>3496</v>
      </c>
      <c r="L160" s="3150">
        <v>97.84</v>
      </c>
      <c r="M160" s="3150">
        <v>77.13</v>
      </c>
      <c r="N160" s="3161">
        <v>97.84</v>
      </c>
      <c r="O160" s="3150">
        <v>77.13</v>
      </c>
      <c r="P160" s="3151">
        <v>9690</v>
      </c>
      <c r="Q160" s="3151">
        <v>12291.84</v>
      </c>
      <c r="R160" s="3151">
        <v>948070</v>
      </c>
      <c r="S160" s="3151">
        <v>11297.1893</v>
      </c>
      <c r="T160" s="3151">
        <v>14330.5718</v>
      </c>
      <c r="U160" s="3151">
        <v>1105317</v>
      </c>
      <c r="V160" s="3151">
        <v>9690</v>
      </c>
      <c r="W160" s="3151">
        <v>12291.84</v>
      </c>
      <c r="X160" s="3151">
        <v>948070</v>
      </c>
      <c r="Y160" s="3152">
        <v>948070</v>
      </c>
      <c r="Z160" s="3152">
        <v>0</v>
      </c>
      <c r="AA160" s="3153"/>
      <c r="AB160" s="3151">
        <v>948070</v>
      </c>
      <c r="AC160" s="3154">
        <v>43819</v>
      </c>
      <c r="AD160" s="3154">
        <v>44372.487411145834</v>
      </c>
      <c r="AE160" s="3154">
        <v>43847.564216666666</v>
      </c>
      <c r="AF160" s="3154">
        <v>44497</v>
      </c>
      <c r="AG160" s="3154">
        <v>44497</v>
      </c>
      <c r="AH160" s="3149"/>
      <c r="AI160" s="3149"/>
      <c r="AJ160" s="3154">
        <v>45199</v>
      </c>
      <c r="AK160" s="3149"/>
      <c r="AL160" s="3154">
        <v>43814</v>
      </c>
      <c r="AM160" s="3149" t="s">
        <v>3516</v>
      </c>
      <c r="AN160" s="3149" t="s">
        <v>3657</v>
      </c>
      <c r="AO160" s="3149" t="s">
        <v>3540</v>
      </c>
      <c r="AP160" s="3149" t="s">
        <v>3499</v>
      </c>
      <c r="AQ160" s="3149" t="s">
        <v>3499</v>
      </c>
      <c r="AR160" s="3149" t="s">
        <v>3519</v>
      </c>
      <c r="AS160" s="3149" t="s">
        <v>3520</v>
      </c>
      <c r="AT160" s="3149"/>
    </row>
    <row r="161" spans="1:46" ht="33.75">
      <c r="A161" s="3149">
        <v>153</v>
      </c>
      <c r="B161" s="3149" t="s">
        <v>3488</v>
      </c>
      <c r="C161" s="3149" t="s">
        <v>3489</v>
      </c>
      <c r="D161" s="3149" t="s">
        <v>3490</v>
      </c>
      <c r="E161" s="3149" t="s">
        <v>3631</v>
      </c>
      <c r="F161" s="3149" t="s">
        <v>3492</v>
      </c>
      <c r="G161" s="3149" t="s">
        <v>3525</v>
      </c>
      <c r="H161" s="3149" t="s">
        <v>3494</v>
      </c>
      <c r="I161" s="3149" t="s">
        <v>3633</v>
      </c>
      <c r="J161" s="3149" t="s">
        <v>3389</v>
      </c>
      <c r="K161" s="3149" t="s">
        <v>3496</v>
      </c>
      <c r="L161" s="3150">
        <v>97.84</v>
      </c>
      <c r="M161" s="3150">
        <v>77.13</v>
      </c>
      <c r="N161" s="3161">
        <v>97.84</v>
      </c>
      <c r="O161" s="3150">
        <v>77.13</v>
      </c>
      <c r="P161" s="3151">
        <v>10865.15</v>
      </c>
      <c r="Q161" s="3151">
        <v>13782.52</v>
      </c>
      <c r="R161" s="3151">
        <v>1063046</v>
      </c>
      <c r="S161" s="3151">
        <v>12033.881799999999</v>
      </c>
      <c r="T161" s="3151">
        <v>15265.072</v>
      </c>
      <c r="U161" s="3151">
        <v>1177395</v>
      </c>
      <c r="V161" s="3151">
        <v>10865.15</v>
      </c>
      <c r="W161" s="3151">
        <v>13782.52</v>
      </c>
      <c r="X161" s="3151">
        <v>1063046</v>
      </c>
      <c r="Y161" s="3152">
        <v>1063046</v>
      </c>
      <c r="Z161" s="3152">
        <v>0</v>
      </c>
      <c r="AA161" s="3153"/>
      <c r="AB161" s="3151">
        <v>1063046</v>
      </c>
      <c r="AC161" s="3154">
        <v>43819</v>
      </c>
      <c r="AD161" s="3154">
        <v>43915.685597453703</v>
      </c>
      <c r="AE161" s="3154">
        <v>43847.564216666666</v>
      </c>
      <c r="AF161" s="3154">
        <v>44030</v>
      </c>
      <c r="AG161" s="3154">
        <v>44031</v>
      </c>
      <c r="AH161" s="3154">
        <v>44137</v>
      </c>
      <c r="AI161" s="3154">
        <v>44141</v>
      </c>
      <c r="AJ161" s="3154">
        <v>44834</v>
      </c>
      <c r="AK161" s="3149"/>
      <c r="AL161" s="3154">
        <v>43814</v>
      </c>
      <c r="AM161" s="3149" t="s">
        <v>3416</v>
      </c>
      <c r="AN161" s="3149" t="s">
        <v>3658</v>
      </c>
      <c r="AO161" s="3149" t="s">
        <v>3659</v>
      </c>
      <c r="AP161" s="3149"/>
      <c r="AQ161" s="3149"/>
      <c r="AR161" s="3149" t="s">
        <v>3500</v>
      </c>
      <c r="AS161" s="3149" t="s">
        <v>3501</v>
      </c>
      <c r="AT161" s="3149"/>
    </row>
    <row r="162" spans="1:46" ht="33.75">
      <c r="A162" s="3149">
        <v>154</v>
      </c>
      <c r="B162" s="3149" t="s">
        <v>3488</v>
      </c>
      <c r="C162" s="3149" t="s">
        <v>3489</v>
      </c>
      <c r="D162" s="3149" t="s">
        <v>3490</v>
      </c>
      <c r="E162" s="3149" t="s">
        <v>3631</v>
      </c>
      <c r="F162" s="3149" t="s">
        <v>3492</v>
      </c>
      <c r="G162" s="3149" t="s">
        <v>3528</v>
      </c>
      <c r="H162" s="3149" t="s">
        <v>3494</v>
      </c>
      <c r="I162" s="3149" t="s">
        <v>3633</v>
      </c>
      <c r="J162" s="3149" t="s">
        <v>3389</v>
      </c>
      <c r="K162" s="3149" t="s">
        <v>3496</v>
      </c>
      <c r="L162" s="3150">
        <v>97.84</v>
      </c>
      <c r="M162" s="3150">
        <v>77.13</v>
      </c>
      <c r="N162" s="3161">
        <v>97.84</v>
      </c>
      <c r="O162" s="3150">
        <v>77.13</v>
      </c>
      <c r="P162" s="3151">
        <v>9500</v>
      </c>
      <c r="Q162" s="3151">
        <v>12050.82</v>
      </c>
      <c r="R162" s="3151">
        <v>929480</v>
      </c>
      <c r="S162" s="3151">
        <v>12033.881799999999</v>
      </c>
      <c r="T162" s="3151">
        <v>15265.072</v>
      </c>
      <c r="U162" s="3151">
        <v>1177395</v>
      </c>
      <c r="V162" s="3151">
        <v>9999</v>
      </c>
      <c r="W162" s="3151">
        <v>12683.81</v>
      </c>
      <c r="X162" s="3151">
        <v>978302</v>
      </c>
      <c r="Y162" s="3152">
        <v>978302</v>
      </c>
      <c r="Z162" s="3152">
        <v>0</v>
      </c>
      <c r="AA162" s="3153"/>
      <c r="AB162" s="3151">
        <v>978302</v>
      </c>
      <c r="AC162" s="3154">
        <v>43819</v>
      </c>
      <c r="AD162" s="3154">
        <v>44102.575221215273</v>
      </c>
      <c r="AE162" s="3154">
        <v>43847.564216666666</v>
      </c>
      <c r="AF162" s="3154">
        <v>44143</v>
      </c>
      <c r="AG162" s="3154">
        <v>44143</v>
      </c>
      <c r="AH162" s="3154">
        <v>44147</v>
      </c>
      <c r="AI162" s="3154">
        <v>44151</v>
      </c>
      <c r="AJ162" s="3154">
        <v>44834</v>
      </c>
      <c r="AK162" s="3149"/>
      <c r="AL162" s="3154">
        <v>43814</v>
      </c>
      <c r="AM162" s="3149" t="s">
        <v>3416</v>
      </c>
      <c r="AN162" s="3149" t="s">
        <v>3660</v>
      </c>
      <c r="AO162" s="3149" t="s">
        <v>3498</v>
      </c>
      <c r="AP162" s="3149" t="s">
        <v>3499</v>
      </c>
      <c r="AQ162" s="3149" t="s">
        <v>3499</v>
      </c>
      <c r="AR162" s="3149" t="s">
        <v>3500</v>
      </c>
      <c r="AS162" s="3149" t="s">
        <v>3501</v>
      </c>
      <c r="AT162" s="3149"/>
    </row>
    <row r="163" spans="1:46" ht="33.75">
      <c r="A163" s="3149">
        <v>155</v>
      </c>
      <c r="B163" s="3149" t="s">
        <v>3488</v>
      </c>
      <c r="C163" s="3149" t="s">
        <v>3489</v>
      </c>
      <c r="D163" s="3149" t="s">
        <v>3490</v>
      </c>
      <c r="E163" s="3149" t="s">
        <v>3631</v>
      </c>
      <c r="F163" s="3149" t="s">
        <v>3492</v>
      </c>
      <c r="G163" s="3149" t="s">
        <v>3529</v>
      </c>
      <c r="H163" s="3149" t="s">
        <v>3494</v>
      </c>
      <c r="I163" s="3149" t="s">
        <v>3633</v>
      </c>
      <c r="J163" s="3149" t="s">
        <v>3389</v>
      </c>
      <c r="K163" s="3149" t="s">
        <v>3496</v>
      </c>
      <c r="L163" s="3150">
        <v>97.84</v>
      </c>
      <c r="M163" s="3150">
        <v>77.13</v>
      </c>
      <c r="N163" s="3161">
        <v>97.84</v>
      </c>
      <c r="O163" s="3150">
        <v>77.13</v>
      </c>
      <c r="P163" s="3151">
        <v>9500</v>
      </c>
      <c r="Q163" s="3151">
        <v>12050.82</v>
      </c>
      <c r="R163" s="3151">
        <v>929480</v>
      </c>
      <c r="S163" s="3151">
        <v>12139.1047</v>
      </c>
      <c r="T163" s="3151">
        <v>15398.5479</v>
      </c>
      <c r="U163" s="3151">
        <v>1187690</v>
      </c>
      <c r="V163" s="3151">
        <v>9999</v>
      </c>
      <c r="W163" s="3151">
        <v>12683.81</v>
      </c>
      <c r="X163" s="3151">
        <v>978302</v>
      </c>
      <c r="Y163" s="3152">
        <v>978302</v>
      </c>
      <c r="Z163" s="3152">
        <v>0</v>
      </c>
      <c r="AA163" s="3153"/>
      <c r="AB163" s="3151">
        <v>978302</v>
      </c>
      <c r="AC163" s="3154">
        <v>43819</v>
      </c>
      <c r="AD163" s="3154">
        <v>44102.575221215273</v>
      </c>
      <c r="AE163" s="3154">
        <v>43847.564216666666</v>
      </c>
      <c r="AF163" s="3154">
        <v>44151</v>
      </c>
      <c r="AG163" s="3154">
        <v>44152</v>
      </c>
      <c r="AH163" s="3154">
        <v>44201</v>
      </c>
      <c r="AI163" s="3154">
        <v>44207</v>
      </c>
      <c r="AJ163" s="3154">
        <v>44834</v>
      </c>
      <c r="AK163" s="3149"/>
      <c r="AL163" s="3154">
        <v>43814</v>
      </c>
      <c r="AM163" s="3149" t="s">
        <v>3416</v>
      </c>
      <c r="AN163" s="3149" t="s">
        <v>3661</v>
      </c>
      <c r="AO163" s="3149" t="s">
        <v>3556</v>
      </c>
      <c r="AP163" s="3149" t="s">
        <v>3499</v>
      </c>
      <c r="AQ163" s="3149" t="s">
        <v>3499</v>
      </c>
      <c r="AR163" s="3149" t="s">
        <v>3500</v>
      </c>
      <c r="AS163" s="3149" t="s">
        <v>3662</v>
      </c>
      <c r="AT163" s="3149"/>
    </row>
    <row r="164" spans="1:46" ht="33.75">
      <c r="A164" s="3149">
        <v>156</v>
      </c>
      <c r="B164" s="3149" t="s">
        <v>3488</v>
      </c>
      <c r="C164" s="3149" t="s">
        <v>3489</v>
      </c>
      <c r="D164" s="3149" t="s">
        <v>3490</v>
      </c>
      <c r="E164" s="3149" t="s">
        <v>3631</v>
      </c>
      <c r="F164" s="3149" t="s">
        <v>3492</v>
      </c>
      <c r="G164" s="3149" t="s">
        <v>3530</v>
      </c>
      <c r="H164" s="3149" t="s">
        <v>3494</v>
      </c>
      <c r="I164" s="3149" t="s">
        <v>3633</v>
      </c>
      <c r="J164" s="3149" t="s">
        <v>3389</v>
      </c>
      <c r="K164" s="3149" t="s">
        <v>3496</v>
      </c>
      <c r="L164" s="3150">
        <v>97.84</v>
      </c>
      <c r="M164" s="3150">
        <v>77.13</v>
      </c>
      <c r="N164" s="3161">
        <v>97.84</v>
      </c>
      <c r="O164" s="3150">
        <v>77.13</v>
      </c>
      <c r="P164" s="3151">
        <v>9500</v>
      </c>
      <c r="Q164" s="3151">
        <v>12050.82</v>
      </c>
      <c r="R164" s="3151">
        <v>929480</v>
      </c>
      <c r="S164" s="3151">
        <v>12139.1047</v>
      </c>
      <c r="T164" s="3151">
        <v>15398.5479</v>
      </c>
      <c r="U164" s="3151">
        <v>1187690</v>
      </c>
      <c r="V164" s="3151">
        <v>9999</v>
      </c>
      <c r="W164" s="3151">
        <v>12683.81</v>
      </c>
      <c r="X164" s="3151">
        <v>978302</v>
      </c>
      <c r="Y164" s="3152">
        <v>978302</v>
      </c>
      <c r="Z164" s="3152">
        <v>0</v>
      </c>
      <c r="AA164" s="3153"/>
      <c r="AB164" s="3151">
        <v>978302</v>
      </c>
      <c r="AC164" s="3154">
        <v>43819</v>
      </c>
      <c r="AD164" s="3154">
        <v>44102.575221215273</v>
      </c>
      <c r="AE164" s="3154">
        <v>43847.564216666666</v>
      </c>
      <c r="AF164" s="3154">
        <v>44147</v>
      </c>
      <c r="AG164" s="3154">
        <v>44148</v>
      </c>
      <c r="AH164" s="3154">
        <v>44153</v>
      </c>
      <c r="AI164" s="3154">
        <v>44159</v>
      </c>
      <c r="AJ164" s="3154">
        <v>44834</v>
      </c>
      <c r="AK164" s="3149"/>
      <c r="AL164" s="3154">
        <v>43814</v>
      </c>
      <c r="AM164" s="3149" t="s">
        <v>3416</v>
      </c>
      <c r="AN164" s="3149" t="s">
        <v>3663</v>
      </c>
      <c r="AO164" s="3149" t="s">
        <v>3540</v>
      </c>
      <c r="AP164" s="3149" t="s">
        <v>3499</v>
      </c>
      <c r="AQ164" s="3149" t="s">
        <v>3499</v>
      </c>
      <c r="AR164" s="3149" t="s">
        <v>3500</v>
      </c>
      <c r="AS164" s="3149" t="s">
        <v>3662</v>
      </c>
      <c r="AT164" s="3149"/>
    </row>
    <row r="165" spans="1:46" ht="33.75">
      <c r="A165" s="3149">
        <v>157</v>
      </c>
      <c r="B165" s="3149" t="s">
        <v>3488</v>
      </c>
      <c r="C165" s="3149" t="s">
        <v>3489</v>
      </c>
      <c r="D165" s="3149" t="s">
        <v>3490</v>
      </c>
      <c r="E165" s="3149" t="s">
        <v>3631</v>
      </c>
      <c r="F165" s="3149" t="s">
        <v>3492</v>
      </c>
      <c r="G165" s="3149" t="s">
        <v>3532</v>
      </c>
      <c r="H165" s="3149" t="s">
        <v>3494</v>
      </c>
      <c r="I165" s="3149" t="s">
        <v>3633</v>
      </c>
      <c r="J165" s="3149" t="s">
        <v>3389</v>
      </c>
      <c r="K165" s="3149" t="s">
        <v>3496</v>
      </c>
      <c r="L165" s="3150">
        <v>97.84</v>
      </c>
      <c r="M165" s="3150">
        <v>77.13</v>
      </c>
      <c r="N165" s="3161">
        <v>97.84</v>
      </c>
      <c r="O165" s="3150">
        <v>77.13</v>
      </c>
      <c r="P165" s="3151">
        <v>11637</v>
      </c>
      <c r="Q165" s="3151">
        <v>14761.62</v>
      </c>
      <c r="R165" s="3151">
        <v>1138564</v>
      </c>
      <c r="S165" s="3151">
        <v>12244.327499999999</v>
      </c>
      <c r="T165" s="3151">
        <v>15532.0239</v>
      </c>
      <c r="U165" s="3151">
        <v>1197985</v>
      </c>
      <c r="V165" s="3151">
        <v>11637.01</v>
      </c>
      <c r="W165" s="3151">
        <v>14761.64</v>
      </c>
      <c r="X165" s="3151">
        <v>1138565</v>
      </c>
      <c r="Y165" s="3152">
        <v>1138565</v>
      </c>
      <c r="Z165" s="3152">
        <v>0</v>
      </c>
      <c r="AA165" s="3153"/>
      <c r="AB165" s="3151">
        <v>1138565</v>
      </c>
      <c r="AC165" s="3154">
        <v>43819</v>
      </c>
      <c r="AD165" s="3154">
        <v>43847.46574915509</v>
      </c>
      <c r="AE165" s="3154">
        <v>43847.470703854167</v>
      </c>
      <c r="AF165" s="3154">
        <v>43889</v>
      </c>
      <c r="AG165" s="3154">
        <v>43972</v>
      </c>
      <c r="AH165" s="3154">
        <v>44172</v>
      </c>
      <c r="AI165" s="3154">
        <v>44182</v>
      </c>
      <c r="AJ165" s="3154">
        <v>44834</v>
      </c>
      <c r="AK165" s="3149"/>
      <c r="AL165" s="3154">
        <v>43814</v>
      </c>
      <c r="AM165" s="3149" t="s">
        <v>3516</v>
      </c>
      <c r="AN165" s="3149" t="s">
        <v>3664</v>
      </c>
      <c r="AO165" s="3149" t="s">
        <v>3527</v>
      </c>
      <c r="AP165" s="3149" t="s">
        <v>3499</v>
      </c>
      <c r="AQ165" s="3149" t="s">
        <v>3499</v>
      </c>
      <c r="AR165" s="3149" t="s">
        <v>3519</v>
      </c>
      <c r="AS165" s="3149" t="s">
        <v>3520</v>
      </c>
      <c r="AT165" s="3149"/>
    </row>
    <row r="166" spans="1:46" ht="33.75">
      <c r="A166" s="3149">
        <v>158</v>
      </c>
      <c r="B166" s="3149" t="s">
        <v>3488</v>
      </c>
      <c r="C166" s="3149" t="s">
        <v>3489</v>
      </c>
      <c r="D166" s="3149" t="s">
        <v>3490</v>
      </c>
      <c r="E166" s="3149" t="s">
        <v>3631</v>
      </c>
      <c r="F166" s="3149" t="s">
        <v>3492</v>
      </c>
      <c r="G166" s="3149" t="s">
        <v>3534</v>
      </c>
      <c r="H166" s="3149" t="s">
        <v>3494</v>
      </c>
      <c r="I166" s="3149" t="s">
        <v>3633</v>
      </c>
      <c r="J166" s="3149" t="s">
        <v>3389</v>
      </c>
      <c r="K166" s="3149" t="s">
        <v>3496</v>
      </c>
      <c r="L166" s="3150">
        <v>97.84</v>
      </c>
      <c r="M166" s="3150">
        <v>77.13</v>
      </c>
      <c r="N166" s="3161">
        <v>97.84</v>
      </c>
      <c r="O166" s="3150">
        <v>77.13</v>
      </c>
      <c r="P166" s="3151">
        <v>9500</v>
      </c>
      <c r="Q166" s="3151">
        <v>12050.82</v>
      </c>
      <c r="R166" s="3151">
        <v>929480</v>
      </c>
      <c r="S166" s="3151">
        <v>12244.327499999999</v>
      </c>
      <c r="T166" s="3151">
        <v>15532.0239</v>
      </c>
      <c r="U166" s="3151">
        <v>1197985</v>
      </c>
      <c r="V166" s="3151">
        <v>9999</v>
      </c>
      <c r="W166" s="3151">
        <v>12683.81</v>
      </c>
      <c r="X166" s="3151">
        <v>978302</v>
      </c>
      <c r="Y166" s="3152">
        <v>978302</v>
      </c>
      <c r="Z166" s="3152">
        <v>0</v>
      </c>
      <c r="AA166" s="3153"/>
      <c r="AB166" s="3151">
        <v>978302</v>
      </c>
      <c r="AC166" s="3154">
        <v>43819</v>
      </c>
      <c r="AD166" s="3154">
        <v>44102.575221215273</v>
      </c>
      <c r="AE166" s="3154">
        <v>43847.564216666666</v>
      </c>
      <c r="AF166" s="3154">
        <v>44163</v>
      </c>
      <c r="AG166" s="3154">
        <v>44165</v>
      </c>
      <c r="AH166" s="3154">
        <v>44201</v>
      </c>
      <c r="AI166" s="3154">
        <v>44207</v>
      </c>
      <c r="AJ166" s="3154">
        <v>44834</v>
      </c>
      <c r="AK166" s="3149"/>
      <c r="AL166" s="3154">
        <v>43814</v>
      </c>
      <c r="AM166" s="3149" t="s">
        <v>3416</v>
      </c>
      <c r="AN166" s="3149" t="s">
        <v>3665</v>
      </c>
      <c r="AO166" s="3149" t="s">
        <v>3556</v>
      </c>
      <c r="AP166" s="3149" t="s">
        <v>3499</v>
      </c>
      <c r="AQ166" s="3149" t="s">
        <v>3499</v>
      </c>
      <c r="AR166" s="3149" t="s">
        <v>3505</v>
      </c>
      <c r="AS166" s="3149" t="s">
        <v>3561</v>
      </c>
      <c r="AT166" s="3149" t="s">
        <v>3519</v>
      </c>
    </row>
    <row r="167" spans="1:46" ht="33.75">
      <c r="A167" s="3149">
        <v>159</v>
      </c>
      <c r="B167" s="3149" t="s">
        <v>3488</v>
      </c>
      <c r="C167" s="3149" t="s">
        <v>3489</v>
      </c>
      <c r="D167" s="3149" t="s">
        <v>3490</v>
      </c>
      <c r="E167" s="3149" t="s">
        <v>3631</v>
      </c>
      <c r="F167" s="3149" t="s">
        <v>3492</v>
      </c>
      <c r="G167" s="3149" t="s">
        <v>3536</v>
      </c>
      <c r="H167" s="3149" t="s">
        <v>3494</v>
      </c>
      <c r="I167" s="3149" t="s">
        <v>3633</v>
      </c>
      <c r="J167" s="3149" t="s">
        <v>3389</v>
      </c>
      <c r="K167" s="3149" t="s">
        <v>3496</v>
      </c>
      <c r="L167" s="3150">
        <v>134.38999999999999</v>
      </c>
      <c r="M167" s="3150">
        <v>105.94</v>
      </c>
      <c r="N167" s="3161">
        <v>134.38999999999999</v>
      </c>
      <c r="O167" s="3150">
        <v>105.94</v>
      </c>
      <c r="P167" s="3151">
        <v>8550</v>
      </c>
      <c r="Q167" s="3151">
        <v>10846.09</v>
      </c>
      <c r="R167" s="3151">
        <v>1149035</v>
      </c>
      <c r="S167" s="3151">
        <v>9968.1077000000005</v>
      </c>
      <c r="T167" s="3151">
        <v>12645.0255</v>
      </c>
      <c r="U167" s="3151">
        <v>1339614</v>
      </c>
      <c r="V167" s="3151">
        <v>8550</v>
      </c>
      <c r="W167" s="3151">
        <v>10846.09</v>
      </c>
      <c r="X167" s="3151">
        <v>1149035</v>
      </c>
      <c r="Y167" s="3152">
        <v>1149035</v>
      </c>
      <c r="Z167" s="3152">
        <v>0</v>
      </c>
      <c r="AA167" s="3153"/>
      <c r="AB167" s="3151">
        <v>1149035</v>
      </c>
      <c r="AC167" s="3154">
        <v>43819</v>
      </c>
      <c r="AD167" s="3154">
        <v>44372.487411145834</v>
      </c>
      <c r="AE167" s="3154">
        <v>43847.564216666666</v>
      </c>
      <c r="AF167" s="3154">
        <v>44557</v>
      </c>
      <c r="AG167" s="3154">
        <v>44557</v>
      </c>
      <c r="AH167" s="3149"/>
      <c r="AI167" s="3149"/>
      <c r="AJ167" s="3154">
        <v>45199</v>
      </c>
      <c r="AK167" s="3149"/>
      <c r="AL167" s="3154">
        <v>43814</v>
      </c>
      <c r="AM167" s="3149" t="s">
        <v>3516</v>
      </c>
      <c r="AN167" s="3149" t="s">
        <v>3666</v>
      </c>
      <c r="AO167" s="3149" t="s">
        <v>3498</v>
      </c>
      <c r="AP167" s="3149" t="s">
        <v>3499</v>
      </c>
      <c r="AQ167" s="3149" t="s">
        <v>3499</v>
      </c>
      <c r="AR167" s="3149" t="s">
        <v>3519</v>
      </c>
      <c r="AS167" s="3149" t="s">
        <v>3520</v>
      </c>
      <c r="AT167" s="3149"/>
    </row>
    <row r="168" spans="1:46" ht="33.75">
      <c r="A168" s="3149">
        <v>160</v>
      </c>
      <c r="B168" s="3149" t="s">
        <v>3488</v>
      </c>
      <c r="C168" s="3149" t="s">
        <v>3489</v>
      </c>
      <c r="D168" s="3149" t="s">
        <v>3490</v>
      </c>
      <c r="E168" s="3149" t="s">
        <v>3631</v>
      </c>
      <c r="F168" s="3149" t="s">
        <v>3492</v>
      </c>
      <c r="G168" s="3149" t="s">
        <v>3537</v>
      </c>
      <c r="H168" s="3149" t="s">
        <v>3494</v>
      </c>
      <c r="I168" s="3149" t="s">
        <v>3633</v>
      </c>
      <c r="J168" s="3149" t="s">
        <v>3389</v>
      </c>
      <c r="K168" s="3149" t="s">
        <v>3496</v>
      </c>
      <c r="L168" s="3150">
        <v>134.38999999999999</v>
      </c>
      <c r="M168" s="3150">
        <v>105.94</v>
      </c>
      <c r="N168" s="3161">
        <v>134.38999999999999</v>
      </c>
      <c r="O168" s="3150">
        <v>105.94</v>
      </c>
      <c r="P168" s="3151">
        <v>8550</v>
      </c>
      <c r="Q168" s="3151">
        <v>10846.09</v>
      </c>
      <c r="R168" s="3151">
        <v>1149035</v>
      </c>
      <c r="S168" s="3151">
        <v>9968.1077000000005</v>
      </c>
      <c r="T168" s="3151">
        <v>12645.0255</v>
      </c>
      <c r="U168" s="3151">
        <v>1339614</v>
      </c>
      <c r="V168" s="3151">
        <v>8550</v>
      </c>
      <c r="W168" s="3151">
        <v>10846.09</v>
      </c>
      <c r="X168" s="3151">
        <v>1149035</v>
      </c>
      <c r="Y168" s="3152">
        <v>1149035</v>
      </c>
      <c r="Z168" s="3152">
        <v>0</v>
      </c>
      <c r="AA168" s="3153"/>
      <c r="AB168" s="3151">
        <v>1149035</v>
      </c>
      <c r="AC168" s="3154">
        <v>43819</v>
      </c>
      <c r="AD168" s="3154">
        <v>44372.487411145834</v>
      </c>
      <c r="AE168" s="3154">
        <v>43847.564216666666</v>
      </c>
      <c r="AF168" s="3154">
        <v>44557</v>
      </c>
      <c r="AG168" s="3154">
        <v>44557</v>
      </c>
      <c r="AH168" s="3149"/>
      <c r="AI168" s="3149"/>
      <c r="AJ168" s="3154">
        <v>45199</v>
      </c>
      <c r="AK168" s="3149"/>
      <c r="AL168" s="3154">
        <v>43814</v>
      </c>
      <c r="AM168" s="3149" t="s">
        <v>3516</v>
      </c>
      <c r="AN168" s="3149" t="s">
        <v>3666</v>
      </c>
      <c r="AO168" s="3149" t="s">
        <v>3498</v>
      </c>
      <c r="AP168" s="3149" t="s">
        <v>3499</v>
      </c>
      <c r="AQ168" s="3149" t="s">
        <v>3499</v>
      </c>
      <c r="AR168" s="3149" t="s">
        <v>3519</v>
      </c>
      <c r="AS168" s="3149" t="s">
        <v>3520</v>
      </c>
      <c r="AT168" s="3149"/>
    </row>
    <row r="169" spans="1:46" ht="33.75">
      <c r="A169" s="3149">
        <v>161</v>
      </c>
      <c r="B169" s="3149" t="s">
        <v>3488</v>
      </c>
      <c r="C169" s="3149" t="s">
        <v>3489</v>
      </c>
      <c r="D169" s="3149" t="s">
        <v>3490</v>
      </c>
      <c r="E169" s="3149" t="s">
        <v>3631</v>
      </c>
      <c r="F169" s="3149" t="s">
        <v>3538</v>
      </c>
      <c r="G169" s="3149" t="s">
        <v>3493</v>
      </c>
      <c r="H169" s="3149" t="s">
        <v>3509</v>
      </c>
      <c r="I169" s="3149" t="s">
        <v>3633</v>
      </c>
      <c r="J169" s="3149" t="s">
        <v>3389</v>
      </c>
      <c r="K169" s="3149" t="s">
        <v>3496</v>
      </c>
      <c r="L169" s="3150">
        <v>97.84</v>
      </c>
      <c r="M169" s="3150">
        <v>77.13</v>
      </c>
      <c r="N169" s="3161">
        <v>97.84</v>
      </c>
      <c r="O169" s="3150">
        <v>77.13</v>
      </c>
      <c r="P169" s="3151">
        <v>5900</v>
      </c>
      <c r="Q169" s="3151">
        <v>7484.2</v>
      </c>
      <c r="R169" s="3151">
        <v>577256</v>
      </c>
      <c r="S169" s="3151">
        <v>5900</v>
      </c>
      <c r="T169" s="3151">
        <v>7484.1954999999998</v>
      </c>
      <c r="U169" s="3151">
        <v>577256</v>
      </c>
      <c r="V169" s="3153"/>
      <c r="W169" s="3153"/>
      <c r="X169" s="3153"/>
      <c r="Y169" s="3153"/>
      <c r="Z169" s="3152">
        <v>0</v>
      </c>
      <c r="AA169" s="3153"/>
      <c r="AB169" s="3151">
        <v>0</v>
      </c>
      <c r="AC169" s="3154">
        <v>43819</v>
      </c>
      <c r="AD169" s="3154">
        <v>45264.773614039354</v>
      </c>
      <c r="AE169" s="3154">
        <v>43847.564216666666</v>
      </c>
      <c r="AF169" s="3149"/>
      <c r="AG169" s="3149"/>
      <c r="AH169" s="3149"/>
      <c r="AI169" s="3149"/>
      <c r="AJ169" s="3149"/>
      <c r="AK169" s="3149"/>
      <c r="AL169" s="3154">
        <v>43814</v>
      </c>
      <c r="AM169" s="3149"/>
      <c r="AN169" s="3149"/>
      <c r="AO169" s="3149"/>
      <c r="AP169" s="3149"/>
      <c r="AQ169" s="3149"/>
      <c r="AR169" s="3149"/>
      <c r="AS169" s="3149"/>
      <c r="AT169" s="3149"/>
    </row>
    <row r="170" spans="1:46" ht="33.75">
      <c r="A170" s="3149">
        <v>162</v>
      </c>
      <c r="B170" s="3149" t="s">
        <v>3488</v>
      </c>
      <c r="C170" s="3149" t="s">
        <v>3489</v>
      </c>
      <c r="D170" s="3149" t="s">
        <v>3490</v>
      </c>
      <c r="E170" s="3149" t="s">
        <v>3631</v>
      </c>
      <c r="F170" s="3149" t="s">
        <v>3538</v>
      </c>
      <c r="G170" s="3149" t="s">
        <v>3502</v>
      </c>
      <c r="H170" s="3149" t="s">
        <v>3509</v>
      </c>
      <c r="I170" s="3149" t="s">
        <v>3633</v>
      </c>
      <c r="J170" s="3149" t="s">
        <v>3389</v>
      </c>
      <c r="K170" s="3149" t="s">
        <v>3496</v>
      </c>
      <c r="L170" s="3150">
        <v>97.84</v>
      </c>
      <c r="M170" s="3150">
        <v>77.13</v>
      </c>
      <c r="N170" s="3161">
        <v>97.84</v>
      </c>
      <c r="O170" s="3150">
        <v>77.13</v>
      </c>
      <c r="P170" s="3151">
        <v>5900</v>
      </c>
      <c r="Q170" s="3151">
        <v>7484.2</v>
      </c>
      <c r="R170" s="3151">
        <v>577256</v>
      </c>
      <c r="S170" s="3151">
        <v>5900</v>
      </c>
      <c r="T170" s="3151">
        <v>7484.1954999999998</v>
      </c>
      <c r="U170" s="3151">
        <v>577256</v>
      </c>
      <c r="V170" s="3153"/>
      <c r="W170" s="3153"/>
      <c r="X170" s="3153"/>
      <c r="Y170" s="3153"/>
      <c r="Z170" s="3152">
        <v>0</v>
      </c>
      <c r="AA170" s="3153"/>
      <c r="AB170" s="3151">
        <v>0</v>
      </c>
      <c r="AC170" s="3154">
        <v>43819</v>
      </c>
      <c r="AD170" s="3154">
        <v>45264.773614039354</v>
      </c>
      <c r="AE170" s="3154">
        <v>43847.564216666666</v>
      </c>
      <c r="AF170" s="3149"/>
      <c r="AG170" s="3149"/>
      <c r="AH170" s="3149"/>
      <c r="AI170" s="3149"/>
      <c r="AJ170" s="3149"/>
      <c r="AK170" s="3149"/>
      <c r="AL170" s="3154">
        <v>43814</v>
      </c>
      <c r="AM170" s="3149"/>
      <c r="AN170" s="3149"/>
      <c r="AO170" s="3149"/>
      <c r="AP170" s="3149"/>
      <c r="AQ170" s="3149"/>
      <c r="AR170" s="3149"/>
      <c r="AS170" s="3149"/>
      <c r="AT170" s="3149"/>
    </row>
    <row r="171" spans="1:46" ht="33.75">
      <c r="A171" s="3149">
        <v>163</v>
      </c>
      <c r="B171" s="3149" t="s">
        <v>3488</v>
      </c>
      <c r="C171" s="3149" t="s">
        <v>3489</v>
      </c>
      <c r="D171" s="3149" t="s">
        <v>3490</v>
      </c>
      <c r="E171" s="3149" t="s">
        <v>3631</v>
      </c>
      <c r="F171" s="3149" t="s">
        <v>3538</v>
      </c>
      <c r="G171" s="3149" t="s">
        <v>3508</v>
      </c>
      <c r="H171" s="3149" t="s">
        <v>3509</v>
      </c>
      <c r="I171" s="3149" t="s">
        <v>3633</v>
      </c>
      <c r="J171" s="3149" t="s">
        <v>3389</v>
      </c>
      <c r="K171" s="3149" t="s">
        <v>3496</v>
      </c>
      <c r="L171" s="3150">
        <v>97.84</v>
      </c>
      <c r="M171" s="3150">
        <v>77.13</v>
      </c>
      <c r="N171" s="3161">
        <v>97.84</v>
      </c>
      <c r="O171" s="3150">
        <v>77.13</v>
      </c>
      <c r="P171" s="3151">
        <v>10220.77</v>
      </c>
      <c r="Q171" s="3151">
        <v>12965.12</v>
      </c>
      <c r="R171" s="3151">
        <v>1000000</v>
      </c>
      <c r="S171" s="3151">
        <v>10754.190500000001</v>
      </c>
      <c r="T171" s="3151">
        <v>13641.7736</v>
      </c>
      <c r="U171" s="3151">
        <v>1052190</v>
      </c>
      <c r="V171" s="3153"/>
      <c r="W171" s="3153"/>
      <c r="X171" s="3153"/>
      <c r="Y171" s="3153"/>
      <c r="Z171" s="3152">
        <v>0</v>
      </c>
      <c r="AA171" s="3153"/>
      <c r="AB171" s="3151">
        <v>0</v>
      </c>
      <c r="AC171" s="3154">
        <v>43819</v>
      </c>
      <c r="AD171" s="3154">
        <v>43847.46574915509</v>
      </c>
      <c r="AE171" s="3154">
        <v>43847.564216666666</v>
      </c>
      <c r="AF171" s="3149"/>
      <c r="AG171" s="3149"/>
      <c r="AH171" s="3149"/>
      <c r="AI171" s="3149"/>
      <c r="AJ171" s="3149"/>
      <c r="AK171" s="3149"/>
      <c r="AL171" s="3154">
        <v>43814</v>
      </c>
      <c r="AM171" s="3149"/>
      <c r="AN171" s="3149"/>
      <c r="AO171" s="3149"/>
      <c r="AP171" s="3149"/>
      <c r="AQ171" s="3149"/>
      <c r="AR171" s="3149"/>
      <c r="AS171" s="3149"/>
      <c r="AT171" s="3149"/>
    </row>
    <row r="172" spans="1:46" ht="33.75">
      <c r="A172" s="3149">
        <v>164</v>
      </c>
      <c r="B172" s="3149" t="s">
        <v>3488</v>
      </c>
      <c r="C172" s="3149" t="s">
        <v>3489</v>
      </c>
      <c r="D172" s="3149" t="s">
        <v>3490</v>
      </c>
      <c r="E172" s="3149" t="s">
        <v>3631</v>
      </c>
      <c r="F172" s="3149" t="s">
        <v>3538</v>
      </c>
      <c r="G172" s="3149" t="s">
        <v>3510</v>
      </c>
      <c r="H172" s="3149" t="s">
        <v>3494</v>
      </c>
      <c r="I172" s="3149" t="s">
        <v>3633</v>
      </c>
      <c r="J172" s="3149" t="s">
        <v>3389</v>
      </c>
      <c r="K172" s="3149" t="s">
        <v>3496</v>
      </c>
      <c r="L172" s="3150">
        <v>97.84</v>
      </c>
      <c r="M172" s="3150">
        <v>77.13</v>
      </c>
      <c r="N172" s="3161">
        <v>97.84</v>
      </c>
      <c r="O172" s="3150">
        <v>77.13</v>
      </c>
      <c r="P172" s="3151">
        <v>9900</v>
      </c>
      <c r="Q172" s="3151">
        <v>12558.23</v>
      </c>
      <c r="R172" s="3151">
        <v>968616</v>
      </c>
      <c r="S172" s="3151">
        <v>10964.9223</v>
      </c>
      <c r="T172" s="3151">
        <v>13909.088599999999</v>
      </c>
      <c r="U172" s="3151">
        <v>1072808</v>
      </c>
      <c r="V172" s="3151">
        <v>9900</v>
      </c>
      <c r="W172" s="3151">
        <v>12558.23</v>
      </c>
      <c r="X172" s="3151">
        <v>968616</v>
      </c>
      <c r="Y172" s="3152">
        <v>968616</v>
      </c>
      <c r="Z172" s="3152">
        <v>0</v>
      </c>
      <c r="AA172" s="3153"/>
      <c r="AB172" s="3151">
        <v>968616</v>
      </c>
      <c r="AC172" s="3154">
        <v>43819</v>
      </c>
      <c r="AD172" s="3154">
        <v>44269.483404594903</v>
      </c>
      <c r="AE172" s="3154">
        <v>43847.564216666666</v>
      </c>
      <c r="AF172" s="3154">
        <v>44307</v>
      </c>
      <c r="AG172" s="3154">
        <v>44307</v>
      </c>
      <c r="AH172" s="3154">
        <v>44334</v>
      </c>
      <c r="AI172" s="3154">
        <v>44341</v>
      </c>
      <c r="AJ172" s="3154">
        <v>44834</v>
      </c>
      <c r="AK172" s="3149"/>
      <c r="AL172" s="3154">
        <v>43814</v>
      </c>
      <c r="AM172" s="3149" t="s">
        <v>3416</v>
      </c>
      <c r="AN172" s="3149" t="s">
        <v>3667</v>
      </c>
      <c r="AO172" s="3149" t="s">
        <v>3504</v>
      </c>
      <c r="AP172" s="3149" t="s">
        <v>3499</v>
      </c>
      <c r="AQ172" s="3149" t="s">
        <v>3499</v>
      </c>
      <c r="AR172" s="3149" t="s">
        <v>3500</v>
      </c>
      <c r="AS172" s="3149" t="s">
        <v>3501</v>
      </c>
      <c r="AT172" s="3149"/>
    </row>
    <row r="173" spans="1:46" ht="33.75">
      <c r="A173" s="3149">
        <v>165</v>
      </c>
      <c r="B173" s="3149" t="s">
        <v>3488</v>
      </c>
      <c r="C173" s="3149" t="s">
        <v>3489</v>
      </c>
      <c r="D173" s="3149" t="s">
        <v>3490</v>
      </c>
      <c r="E173" s="3149" t="s">
        <v>3631</v>
      </c>
      <c r="F173" s="3149" t="s">
        <v>3538</v>
      </c>
      <c r="G173" s="3149" t="s">
        <v>3511</v>
      </c>
      <c r="H173" s="3149" t="s">
        <v>3494</v>
      </c>
      <c r="I173" s="3149" t="s">
        <v>3633</v>
      </c>
      <c r="J173" s="3149" t="s">
        <v>3389</v>
      </c>
      <c r="K173" s="3149" t="s">
        <v>3496</v>
      </c>
      <c r="L173" s="3150">
        <v>97.84</v>
      </c>
      <c r="M173" s="3150">
        <v>77.13</v>
      </c>
      <c r="N173" s="3161">
        <v>97.84</v>
      </c>
      <c r="O173" s="3150">
        <v>77.13</v>
      </c>
      <c r="P173" s="3151">
        <v>8500</v>
      </c>
      <c r="Q173" s="3151">
        <v>10782.32</v>
      </c>
      <c r="R173" s="3151">
        <v>831640</v>
      </c>
      <c r="S173" s="3151">
        <v>10964.9223</v>
      </c>
      <c r="T173" s="3151">
        <v>13909.088599999999</v>
      </c>
      <c r="U173" s="3151">
        <v>1072808</v>
      </c>
      <c r="V173" s="3151">
        <v>8500</v>
      </c>
      <c r="W173" s="3151">
        <v>10782.32</v>
      </c>
      <c r="X173" s="3151">
        <v>831640</v>
      </c>
      <c r="Y173" s="3152">
        <v>831640</v>
      </c>
      <c r="Z173" s="3152">
        <v>0</v>
      </c>
      <c r="AA173" s="3153"/>
      <c r="AB173" s="3151">
        <v>831640</v>
      </c>
      <c r="AC173" s="3154">
        <v>43819</v>
      </c>
      <c r="AD173" s="3154">
        <v>44370.586481284721</v>
      </c>
      <c r="AE173" s="3154">
        <v>43847.564216666666</v>
      </c>
      <c r="AF173" s="3154">
        <v>44372</v>
      </c>
      <c r="AG173" s="3154">
        <v>44372</v>
      </c>
      <c r="AH173" s="3154">
        <v>44789</v>
      </c>
      <c r="AI173" s="3154">
        <v>44812</v>
      </c>
      <c r="AJ173" s="3154">
        <v>44834</v>
      </c>
      <c r="AK173" s="3149"/>
      <c r="AL173" s="3154">
        <v>43814</v>
      </c>
      <c r="AM173" s="3149" t="s">
        <v>3416</v>
      </c>
      <c r="AN173" s="3149" t="s">
        <v>3668</v>
      </c>
      <c r="AO173" s="3149" t="s">
        <v>3498</v>
      </c>
      <c r="AP173" s="3149" t="s">
        <v>3499</v>
      </c>
      <c r="AQ173" s="3149" t="s">
        <v>3499</v>
      </c>
      <c r="AR173" s="3149" t="s">
        <v>3500</v>
      </c>
      <c r="AS173" s="3149" t="s">
        <v>3501</v>
      </c>
      <c r="AT173" s="3149"/>
    </row>
    <row r="174" spans="1:46" ht="33.75">
      <c r="A174" s="3149">
        <v>166</v>
      </c>
      <c r="B174" s="3149" t="s">
        <v>3488</v>
      </c>
      <c r="C174" s="3149" t="s">
        <v>3489</v>
      </c>
      <c r="D174" s="3149" t="s">
        <v>3490</v>
      </c>
      <c r="E174" s="3149" t="s">
        <v>3631</v>
      </c>
      <c r="F174" s="3149" t="s">
        <v>3538</v>
      </c>
      <c r="G174" s="3149" t="s">
        <v>3512</v>
      </c>
      <c r="H174" s="3149" t="s">
        <v>3494</v>
      </c>
      <c r="I174" s="3149" t="s">
        <v>3633</v>
      </c>
      <c r="J174" s="3149" t="s">
        <v>3389</v>
      </c>
      <c r="K174" s="3149" t="s">
        <v>3496</v>
      </c>
      <c r="L174" s="3150">
        <v>97.84</v>
      </c>
      <c r="M174" s="3150">
        <v>77.13</v>
      </c>
      <c r="N174" s="3161">
        <v>97.84</v>
      </c>
      <c r="O174" s="3150">
        <v>77.13</v>
      </c>
      <c r="P174" s="3151">
        <v>10834.01</v>
      </c>
      <c r="Q174" s="3151">
        <v>13743.03</v>
      </c>
      <c r="R174" s="3151">
        <v>1060000</v>
      </c>
      <c r="S174" s="3151">
        <v>11399.427600000001</v>
      </c>
      <c r="T174" s="3151">
        <v>14460.2619</v>
      </c>
      <c r="U174" s="3151">
        <v>1115320</v>
      </c>
      <c r="V174" s="3151">
        <v>10292.31</v>
      </c>
      <c r="W174" s="3151">
        <v>13055.88</v>
      </c>
      <c r="X174" s="3151">
        <v>1007000</v>
      </c>
      <c r="Y174" s="3152">
        <v>1007000</v>
      </c>
      <c r="Z174" s="3152">
        <v>0</v>
      </c>
      <c r="AA174" s="3153"/>
      <c r="AB174" s="3151">
        <v>1007000</v>
      </c>
      <c r="AC174" s="3154">
        <v>43819</v>
      </c>
      <c r="AD174" s="3154">
        <v>43847.46574915509</v>
      </c>
      <c r="AE174" s="3154">
        <v>43847.564216666666</v>
      </c>
      <c r="AF174" s="3154">
        <v>43877</v>
      </c>
      <c r="AG174" s="3154">
        <v>43921</v>
      </c>
      <c r="AH174" s="3149"/>
      <c r="AI174" s="3149"/>
      <c r="AJ174" s="3154">
        <v>44834</v>
      </c>
      <c r="AK174" s="3149"/>
      <c r="AL174" s="3154">
        <v>43814</v>
      </c>
      <c r="AM174" s="3149" t="s">
        <v>3416</v>
      </c>
      <c r="AN174" s="3149" t="s">
        <v>3669</v>
      </c>
      <c r="AO174" s="3149" t="s">
        <v>3591</v>
      </c>
      <c r="AP174" s="3149" t="s">
        <v>3499</v>
      </c>
      <c r="AQ174" s="3149" t="s">
        <v>3499</v>
      </c>
      <c r="AR174" s="3149"/>
      <c r="AS174" s="3149"/>
      <c r="AT174" s="3149"/>
    </row>
    <row r="175" spans="1:46" ht="33.75">
      <c r="A175" s="3149">
        <v>167</v>
      </c>
      <c r="B175" s="3149" t="s">
        <v>3488</v>
      </c>
      <c r="C175" s="3149" t="s">
        <v>3489</v>
      </c>
      <c r="D175" s="3149" t="s">
        <v>3490</v>
      </c>
      <c r="E175" s="3149" t="s">
        <v>3631</v>
      </c>
      <c r="F175" s="3149" t="s">
        <v>3538</v>
      </c>
      <c r="G175" s="3149" t="s">
        <v>3513</v>
      </c>
      <c r="H175" s="3149" t="s">
        <v>3494</v>
      </c>
      <c r="I175" s="3149" t="s">
        <v>3633</v>
      </c>
      <c r="J175" s="3149" t="s">
        <v>3389</v>
      </c>
      <c r="K175" s="3149" t="s">
        <v>3496</v>
      </c>
      <c r="L175" s="3150">
        <v>97.84</v>
      </c>
      <c r="M175" s="3150">
        <v>77.13</v>
      </c>
      <c r="N175" s="3161">
        <v>97.84</v>
      </c>
      <c r="O175" s="3150">
        <v>77.13</v>
      </c>
      <c r="P175" s="3151">
        <v>9499.0499999999993</v>
      </c>
      <c r="Q175" s="3151">
        <v>12049.62</v>
      </c>
      <c r="R175" s="3151">
        <v>929387</v>
      </c>
      <c r="S175" s="3151">
        <v>11074.5707</v>
      </c>
      <c r="T175" s="3151">
        <v>14048.178400000001</v>
      </c>
      <c r="U175" s="3151">
        <v>1083536</v>
      </c>
      <c r="V175" s="3151">
        <v>9799.0300000000007</v>
      </c>
      <c r="W175" s="3151">
        <v>12430.14</v>
      </c>
      <c r="X175" s="3151">
        <v>958737</v>
      </c>
      <c r="Y175" s="3152">
        <v>958737</v>
      </c>
      <c r="Z175" s="3152">
        <v>0</v>
      </c>
      <c r="AA175" s="3153"/>
      <c r="AB175" s="3151">
        <v>958737</v>
      </c>
      <c r="AC175" s="3154">
        <v>43819</v>
      </c>
      <c r="AD175" s="3154">
        <v>44372.487411145834</v>
      </c>
      <c r="AE175" s="3154">
        <v>43847.564216666666</v>
      </c>
      <c r="AF175" s="3154">
        <v>44546</v>
      </c>
      <c r="AG175" s="3154">
        <v>44547</v>
      </c>
      <c r="AH175" s="3149"/>
      <c r="AI175" s="3149"/>
      <c r="AJ175" s="3154">
        <v>45199</v>
      </c>
      <c r="AK175" s="3149"/>
      <c r="AL175" s="3154">
        <v>43814</v>
      </c>
      <c r="AM175" s="3149" t="s">
        <v>3516</v>
      </c>
      <c r="AN175" s="3149" t="s">
        <v>3637</v>
      </c>
      <c r="AO175" s="3149" t="s">
        <v>3540</v>
      </c>
      <c r="AP175" s="3149" t="s">
        <v>3499</v>
      </c>
      <c r="AQ175" s="3149" t="s">
        <v>3499</v>
      </c>
      <c r="AR175" s="3149" t="s">
        <v>3519</v>
      </c>
      <c r="AS175" s="3149" t="s">
        <v>3520</v>
      </c>
      <c r="AT175" s="3149"/>
    </row>
    <row r="176" spans="1:46" ht="33.75">
      <c r="A176" s="3149">
        <v>168</v>
      </c>
      <c r="B176" s="3149" t="s">
        <v>3488</v>
      </c>
      <c r="C176" s="3149" t="s">
        <v>3489</v>
      </c>
      <c r="D176" s="3149" t="s">
        <v>3490</v>
      </c>
      <c r="E176" s="3149" t="s">
        <v>3631</v>
      </c>
      <c r="F176" s="3149" t="s">
        <v>3538</v>
      </c>
      <c r="G176" s="3149" t="s">
        <v>3514</v>
      </c>
      <c r="H176" s="3149" t="s">
        <v>3494</v>
      </c>
      <c r="I176" s="3149" t="s">
        <v>3633</v>
      </c>
      <c r="J176" s="3149" t="s">
        <v>3389</v>
      </c>
      <c r="K176" s="3149" t="s">
        <v>3496</v>
      </c>
      <c r="L176" s="3150">
        <v>97.84</v>
      </c>
      <c r="M176" s="3150">
        <v>77.13</v>
      </c>
      <c r="N176" s="3161">
        <v>97.84</v>
      </c>
      <c r="O176" s="3150">
        <v>77.13</v>
      </c>
      <c r="P176" s="3151">
        <v>10051.14</v>
      </c>
      <c r="Q176" s="3151">
        <v>12749.95</v>
      </c>
      <c r="R176" s="3151">
        <v>983404</v>
      </c>
      <c r="S176" s="3151">
        <v>11718.223599999999</v>
      </c>
      <c r="T176" s="3151">
        <v>14864.6571</v>
      </c>
      <c r="U176" s="3151">
        <v>1146511</v>
      </c>
      <c r="V176" s="3151">
        <v>10051.14</v>
      </c>
      <c r="W176" s="3151">
        <v>12749.95</v>
      </c>
      <c r="X176" s="3151">
        <v>983404</v>
      </c>
      <c r="Y176" s="3152">
        <v>983404</v>
      </c>
      <c r="Z176" s="3152">
        <v>0</v>
      </c>
      <c r="AA176" s="3153"/>
      <c r="AB176" s="3151">
        <v>983404</v>
      </c>
      <c r="AC176" s="3154">
        <v>43819</v>
      </c>
      <c r="AD176" s="3154">
        <v>44070.394818946756</v>
      </c>
      <c r="AE176" s="3154">
        <v>43847.564216666666</v>
      </c>
      <c r="AF176" s="3154">
        <v>44070</v>
      </c>
      <c r="AG176" s="3154">
        <v>44079</v>
      </c>
      <c r="AH176" s="3154">
        <v>44097</v>
      </c>
      <c r="AI176" s="3154">
        <v>44103</v>
      </c>
      <c r="AJ176" s="3154">
        <v>44834</v>
      </c>
      <c r="AK176" s="3149"/>
      <c r="AL176" s="3154">
        <v>43814</v>
      </c>
      <c r="AM176" s="3149" t="s">
        <v>3416</v>
      </c>
      <c r="AN176" s="3149" t="s">
        <v>3670</v>
      </c>
      <c r="AO176" s="3149" t="s">
        <v>3548</v>
      </c>
      <c r="AP176" s="3149"/>
      <c r="AQ176" s="3149"/>
      <c r="AR176" s="3149" t="s">
        <v>3505</v>
      </c>
      <c r="AS176" s="3149" t="s">
        <v>3561</v>
      </c>
      <c r="AT176" s="3149" t="s">
        <v>3671</v>
      </c>
    </row>
    <row r="177" spans="1:46" ht="33.75">
      <c r="A177" s="3149">
        <v>169</v>
      </c>
      <c r="B177" s="3149" t="s">
        <v>3488</v>
      </c>
      <c r="C177" s="3149" t="s">
        <v>3489</v>
      </c>
      <c r="D177" s="3149" t="s">
        <v>3490</v>
      </c>
      <c r="E177" s="3149" t="s">
        <v>3631</v>
      </c>
      <c r="F177" s="3149" t="s">
        <v>3538</v>
      </c>
      <c r="G177" s="3149" t="s">
        <v>3515</v>
      </c>
      <c r="H177" s="3149" t="s">
        <v>3494</v>
      </c>
      <c r="I177" s="3149" t="s">
        <v>3633</v>
      </c>
      <c r="J177" s="3149" t="s">
        <v>3389</v>
      </c>
      <c r="K177" s="3149" t="s">
        <v>3496</v>
      </c>
      <c r="L177" s="3150">
        <v>97.84</v>
      </c>
      <c r="M177" s="3150">
        <v>77.13</v>
      </c>
      <c r="N177" s="3161">
        <v>97.84</v>
      </c>
      <c r="O177" s="3150">
        <v>77.13</v>
      </c>
      <c r="P177" s="3151">
        <v>9595</v>
      </c>
      <c r="Q177" s="3151">
        <v>12171.33</v>
      </c>
      <c r="R177" s="3151">
        <v>938775</v>
      </c>
      <c r="S177" s="3151">
        <v>11186.437</v>
      </c>
      <c r="T177" s="3151">
        <v>14190.081700000001</v>
      </c>
      <c r="U177" s="3151">
        <v>1094481</v>
      </c>
      <c r="V177" s="3151">
        <v>9898.01</v>
      </c>
      <c r="W177" s="3151">
        <v>12555.7</v>
      </c>
      <c r="X177" s="3151">
        <v>968421</v>
      </c>
      <c r="Y177" s="3152">
        <v>968421</v>
      </c>
      <c r="Z177" s="3152">
        <v>0</v>
      </c>
      <c r="AA177" s="3153"/>
      <c r="AB177" s="3151">
        <v>968421</v>
      </c>
      <c r="AC177" s="3154">
        <v>43819</v>
      </c>
      <c r="AD177" s="3154">
        <v>44372.487411145834</v>
      </c>
      <c r="AE177" s="3154">
        <v>43847.564216666666</v>
      </c>
      <c r="AF177" s="3154">
        <v>44546</v>
      </c>
      <c r="AG177" s="3154">
        <v>44547</v>
      </c>
      <c r="AH177" s="3149"/>
      <c r="AI177" s="3149"/>
      <c r="AJ177" s="3154">
        <v>45199</v>
      </c>
      <c r="AK177" s="3149"/>
      <c r="AL177" s="3154">
        <v>43814</v>
      </c>
      <c r="AM177" s="3149" t="s">
        <v>3516</v>
      </c>
      <c r="AN177" s="3149" t="s">
        <v>3637</v>
      </c>
      <c r="AO177" s="3149" t="s">
        <v>3518</v>
      </c>
      <c r="AP177" s="3149" t="s">
        <v>3499</v>
      </c>
      <c r="AQ177" s="3149" t="s">
        <v>3499</v>
      </c>
      <c r="AR177" s="3149" t="s">
        <v>3519</v>
      </c>
      <c r="AS177" s="3149" t="s">
        <v>3520</v>
      </c>
      <c r="AT177" s="3149"/>
    </row>
    <row r="178" spans="1:46" ht="33.75">
      <c r="A178" s="3149">
        <v>170</v>
      </c>
      <c r="B178" s="3149" t="s">
        <v>3488</v>
      </c>
      <c r="C178" s="3149" t="s">
        <v>3489</v>
      </c>
      <c r="D178" s="3149" t="s">
        <v>3490</v>
      </c>
      <c r="E178" s="3149" t="s">
        <v>3631</v>
      </c>
      <c r="F178" s="3149" t="s">
        <v>3538</v>
      </c>
      <c r="G178" s="3149" t="s">
        <v>3521</v>
      </c>
      <c r="H178" s="3149" t="s">
        <v>3494</v>
      </c>
      <c r="I178" s="3149" t="s">
        <v>3633</v>
      </c>
      <c r="J178" s="3149" t="s">
        <v>3389</v>
      </c>
      <c r="K178" s="3149" t="s">
        <v>3496</v>
      </c>
      <c r="L178" s="3150">
        <v>97.84</v>
      </c>
      <c r="M178" s="3150">
        <v>77.13</v>
      </c>
      <c r="N178" s="3161">
        <v>97.84</v>
      </c>
      <c r="O178" s="3150">
        <v>77.13</v>
      </c>
      <c r="P178" s="3151">
        <v>8800</v>
      </c>
      <c r="Q178" s="3151">
        <v>11162.87</v>
      </c>
      <c r="R178" s="3151">
        <v>860992</v>
      </c>
      <c r="S178" s="3151">
        <v>10259.5769</v>
      </c>
      <c r="T178" s="3151">
        <v>13014.3524</v>
      </c>
      <c r="U178" s="3151">
        <v>1003797</v>
      </c>
      <c r="V178" s="3151">
        <v>8800</v>
      </c>
      <c r="W178" s="3151">
        <v>11162.87</v>
      </c>
      <c r="X178" s="3151">
        <v>860992</v>
      </c>
      <c r="Y178" s="3152">
        <v>860992</v>
      </c>
      <c r="Z178" s="3152">
        <v>0</v>
      </c>
      <c r="AA178" s="3153"/>
      <c r="AB178" s="3151">
        <v>860992</v>
      </c>
      <c r="AC178" s="3154">
        <v>43819</v>
      </c>
      <c r="AD178" s="3154">
        <v>44372.487411145834</v>
      </c>
      <c r="AE178" s="3154">
        <v>43847.564216666666</v>
      </c>
      <c r="AF178" s="3154">
        <v>44372</v>
      </c>
      <c r="AG178" s="3154">
        <v>44372</v>
      </c>
      <c r="AH178" s="3154">
        <v>44557</v>
      </c>
      <c r="AI178" s="3154">
        <v>44571</v>
      </c>
      <c r="AJ178" s="3154">
        <v>44834</v>
      </c>
      <c r="AK178" s="3149"/>
      <c r="AL178" s="3154">
        <v>43814</v>
      </c>
      <c r="AM178" s="3149" t="s">
        <v>3416</v>
      </c>
      <c r="AN178" s="3149" t="s">
        <v>3672</v>
      </c>
      <c r="AO178" s="3149" t="s">
        <v>3498</v>
      </c>
      <c r="AP178" s="3149" t="s">
        <v>3499</v>
      </c>
      <c r="AQ178" s="3149" t="s">
        <v>3499</v>
      </c>
      <c r="AR178" s="3149" t="s">
        <v>3500</v>
      </c>
      <c r="AS178" s="3149" t="s">
        <v>3501</v>
      </c>
      <c r="AT178" s="3149"/>
    </row>
    <row r="179" spans="1:46" ht="33.75">
      <c r="A179" s="3149">
        <v>171</v>
      </c>
      <c r="B179" s="3149" t="s">
        <v>3488</v>
      </c>
      <c r="C179" s="3149" t="s">
        <v>3489</v>
      </c>
      <c r="D179" s="3149" t="s">
        <v>3490</v>
      </c>
      <c r="E179" s="3149" t="s">
        <v>3631</v>
      </c>
      <c r="F179" s="3149" t="s">
        <v>3538</v>
      </c>
      <c r="G179" s="3149" t="s">
        <v>3522</v>
      </c>
      <c r="H179" s="3149" t="s">
        <v>3494</v>
      </c>
      <c r="I179" s="3149" t="s">
        <v>3633</v>
      </c>
      <c r="J179" s="3149" t="s">
        <v>3389</v>
      </c>
      <c r="K179" s="3149" t="s">
        <v>3496</v>
      </c>
      <c r="L179" s="3150">
        <v>97.84</v>
      </c>
      <c r="M179" s="3150">
        <v>77.13</v>
      </c>
      <c r="N179" s="3161">
        <v>97.84</v>
      </c>
      <c r="O179" s="3150">
        <v>77.13</v>
      </c>
      <c r="P179" s="3151">
        <v>11337</v>
      </c>
      <c r="Q179" s="3151">
        <v>14381.07</v>
      </c>
      <c r="R179" s="3151">
        <v>1109212</v>
      </c>
      <c r="S179" s="3151">
        <v>11928.6693</v>
      </c>
      <c r="T179" s="3151">
        <v>15131.609</v>
      </c>
      <c r="U179" s="3151">
        <v>1167101</v>
      </c>
      <c r="V179" s="3151">
        <v>11337.01</v>
      </c>
      <c r="W179" s="3151">
        <v>14381.08</v>
      </c>
      <c r="X179" s="3151">
        <v>1109213</v>
      </c>
      <c r="Y179" s="3152">
        <v>1109213</v>
      </c>
      <c r="Z179" s="3152">
        <v>0</v>
      </c>
      <c r="AA179" s="3153"/>
      <c r="AB179" s="3151">
        <v>1109213</v>
      </c>
      <c r="AC179" s="3154">
        <v>43819</v>
      </c>
      <c r="AD179" s="3154">
        <v>43847.46574915509</v>
      </c>
      <c r="AE179" s="3154">
        <v>43847.564216666666</v>
      </c>
      <c r="AF179" s="3154">
        <v>43865</v>
      </c>
      <c r="AG179" s="3154">
        <v>43902</v>
      </c>
      <c r="AH179" s="3154">
        <v>43939</v>
      </c>
      <c r="AI179" s="3154">
        <v>43959</v>
      </c>
      <c r="AJ179" s="3154">
        <v>44834</v>
      </c>
      <c r="AK179" s="3149"/>
      <c r="AL179" s="3154">
        <v>43814</v>
      </c>
      <c r="AM179" s="3149" t="s">
        <v>3416</v>
      </c>
      <c r="AN179" s="3149" t="s">
        <v>3673</v>
      </c>
      <c r="AO179" s="3149" t="s">
        <v>3498</v>
      </c>
      <c r="AP179" s="3149" t="s">
        <v>3499</v>
      </c>
      <c r="AQ179" s="3149" t="s">
        <v>3499</v>
      </c>
      <c r="AR179" s="3149"/>
      <c r="AS179" s="3149"/>
      <c r="AT179" s="3149"/>
    </row>
    <row r="180" spans="1:46" ht="33.75">
      <c r="A180" s="3149">
        <v>172</v>
      </c>
      <c r="B180" s="3149" t="s">
        <v>3488</v>
      </c>
      <c r="C180" s="3149" t="s">
        <v>3489</v>
      </c>
      <c r="D180" s="3149" t="s">
        <v>3490</v>
      </c>
      <c r="E180" s="3149" t="s">
        <v>3631</v>
      </c>
      <c r="F180" s="3149" t="s">
        <v>3538</v>
      </c>
      <c r="G180" s="3149" t="s">
        <v>3523</v>
      </c>
      <c r="H180" s="3149" t="s">
        <v>3509</v>
      </c>
      <c r="I180" s="3149" t="s">
        <v>3633</v>
      </c>
      <c r="J180" s="3149" t="s">
        <v>3389</v>
      </c>
      <c r="K180" s="3149" t="s">
        <v>3496</v>
      </c>
      <c r="L180" s="3150">
        <v>97.84</v>
      </c>
      <c r="M180" s="3150">
        <v>77.13</v>
      </c>
      <c r="N180" s="3161">
        <v>97.84</v>
      </c>
      <c r="O180" s="3150">
        <v>77.13</v>
      </c>
      <c r="P180" s="3151">
        <v>5500</v>
      </c>
      <c r="Q180" s="3151">
        <v>6976.79</v>
      </c>
      <c r="R180" s="3151">
        <v>538120</v>
      </c>
      <c r="S180" s="3151">
        <v>5500</v>
      </c>
      <c r="T180" s="3151">
        <v>6976.7924000000003</v>
      </c>
      <c r="U180" s="3151">
        <v>538120</v>
      </c>
      <c r="V180" s="3153"/>
      <c r="W180" s="3153"/>
      <c r="X180" s="3153"/>
      <c r="Y180" s="3153"/>
      <c r="Z180" s="3152">
        <v>0</v>
      </c>
      <c r="AA180" s="3153"/>
      <c r="AB180" s="3151">
        <v>0</v>
      </c>
      <c r="AC180" s="3154">
        <v>43819</v>
      </c>
      <c r="AD180" s="3154">
        <v>45264.773614039354</v>
      </c>
      <c r="AE180" s="3154">
        <v>43847.564216666666</v>
      </c>
      <c r="AF180" s="3149"/>
      <c r="AG180" s="3149"/>
      <c r="AH180" s="3149"/>
      <c r="AI180" s="3149"/>
      <c r="AJ180" s="3149"/>
      <c r="AK180" s="3149"/>
      <c r="AL180" s="3154">
        <v>43814</v>
      </c>
      <c r="AM180" s="3149"/>
      <c r="AN180" s="3149"/>
      <c r="AO180" s="3149"/>
      <c r="AP180" s="3149"/>
      <c r="AQ180" s="3149"/>
      <c r="AR180" s="3149"/>
      <c r="AS180" s="3149"/>
      <c r="AT180" s="3149"/>
    </row>
    <row r="181" spans="1:46" ht="33.75">
      <c r="A181" s="3149">
        <v>173</v>
      </c>
      <c r="B181" s="3149" t="s">
        <v>3488</v>
      </c>
      <c r="C181" s="3149" t="s">
        <v>3489</v>
      </c>
      <c r="D181" s="3149" t="s">
        <v>3490</v>
      </c>
      <c r="E181" s="3149" t="s">
        <v>3631</v>
      </c>
      <c r="F181" s="3149" t="s">
        <v>3538</v>
      </c>
      <c r="G181" s="3149" t="s">
        <v>3525</v>
      </c>
      <c r="H181" s="3149" t="s">
        <v>3494</v>
      </c>
      <c r="I181" s="3149" t="s">
        <v>3633</v>
      </c>
      <c r="J181" s="3149" t="s">
        <v>3389</v>
      </c>
      <c r="K181" s="3149" t="s">
        <v>3496</v>
      </c>
      <c r="L181" s="3150">
        <v>97.84</v>
      </c>
      <c r="M181" s="3150">
        <v>77.13</v>
      </c>
      <c r="N181" s="3161">
        <v>97.84</v>
      </c>
      <c r="O181" s="3150">
        <v>77.13</v>
      </c>
      <c r="P181" s="3151">
        <v>9500</v>
      </c>
      <c r="Q181" s="3151">
        <v>12050.82</v>
      </c>
      <c r="R181" s="3151">
        <v>929480</v>
      </c>
      <c r="S181" s="3151">
        <v>12033.881799999999</v>
      </c>
      <c r="T181" s="3151">
        <v>15265.072</v>
      </c>
      <c r="U181" s="3151">
        <v>1177395</v>
      </c>
      <c r="V181" s="3151">
        <v>9999</v>
      </c>
      <c r="W181" s="3151">
        <v>12683.81</v>
      </c>
      <c r="X181" s="3151">
        <v>978302</v>
      </c>
      <c r="Y181" s="3152">
        <v>978302</v>
      </c>
      <c r="Z181" s="3152">
        <v>0</v>
      </c>
      <c r="AA181" s="3153"/>
      <c r="AB181" s="3151">
        <v>978302</v>
      </c>
      <c r="AC181" s="3154">
        <v>43819</v>
      </c>
      <c r="AD181" s="3154">
        <v>44102.575221215273</v>
      </c>
      <c r="AE181" s="3154">
        <v>43847.564216666666</v>
      </c>
      <c r="AF181" s="3154">
        <v>44143</v>
      </c>
      <c r="AG181" s="3154">
        <v>44143</v>
      </c>
      <c r="AH181" s="3154">
        <v>44147</v>
      </c>
      <c r="AI181" s="3154">
        <v>44151</v>
      </c>
      <c r="AJ181" s="3154">
        <v>44834</v>
      </c>
      <c r="AK181" s="3149"/>
      <c r="AL181" s="3154">
        <v>43814</v>
      </c>
      <c r="AM181" s="3149" t="s">
        <v>3416</v>
      </c>
      <c r="AN181" s="3149" t="s">
        <v>3674</v>
      </c>
      <c r="AO181" s="3149" t="s">
        <v>3498</v>
      </c>
      <c r="AP181" s="3149" t="s">
        <v>3499</v>
      </c>
      <c r="AQ181" s="3149" t="s">
        <v>3499</v>
      </c>
      <c r="AR181" s="3149" t="s">
        <v>3500</v>
      </c>
      <c r="AS181" s="3149" t="s">
        <v>3501</v>
      </c>
      <c r="AT181" s="3149"/>
    </row>
    <row r="182" spans="1:46" ht="33.75">
      <c r="A182" s="3149">
        <v>174</v>
      </c>
      <c r="B182" s="3149" t="s">
        <v>3488</v>
      </c>
      <c r="C182" s="3149" t="s">
        <v>3489</v>
      </c>
      <c r="D182" s="3149" t="s">
        <v>3490</v>
      </c>
      <c r="E182" s="3149" t="s">
        <v>3631</v>
      </c>
      <c r="F182" s="3149" t="s">
        <v>3538</v>
      </c>
      <c r="G182" s="3149" t="s">
        <v>3528</v>
      </c>
      <c r="H182" s="3149" t="s">
        <v>3494</v>
      </c>
      <c r="I182" s="3149" t="s">
        <v>3633</v>
      </c>
      <c r="J182" s="3149" t="s">
        <v>3389</v>
      </c>
      <c r="K182" s="3149" t="s">
        <v>3496</v>
      </c>
      <c r="L182" s="3150">
        <v>97.84</v>
      </c>
      <c r="M182" s="3150">
        <v>77.13</v>
      </c>
      <c r="N182" s="3161">
        <v>97.84</v>
      </c>
      <c r="O182" s="3150">
        <v>77.13</v>
      </c>
      <c r="P182" s="3151">
        <v>10865.15</v>
      </c>
      <c r="Q182" s="3151">
        <v>13782.52</v>
      </c>
      <c r="R182" s="3151">
        <v>1063046</v>
      </c>
      <c r="S182" s="3151">
        <v>12033.881799999999</v>
      </c>
      <c r="T182" s="3151">
        <v>15265.072</v>
      </c>
      <c r="U182" s="3151">
        <v>1177395</v>
      </c>
      <c r="V182" s="3151">
        <v>10865.15</v>
      </c>
      <c r="W182" s="3151">
        <v>13782.52</v>
      </c>
      <c r="X182" s="3151">
        <v>1063046</v>
      </c>
      <c r="Y182" s="3152">
        <v>1063046</v>
      </c>
      <c r="Z182" s="3152">
        <v>0</v>
      </c>
      <c r="AA182" s="3153"/>
      <c r="AB182" s="3151">
        <v>1063046</v>
      </c>
      <c r="AC182" s="3154">
        <v>43819</v>
      </c>
      <c r="AD182" s="3154">
        <v>43915.685597453703</v>
      </c>
      <c r="AE182" s="3154">
        <v>43847.564216666666</v>
      </c>
      <c r="AF182" s="3154">
        <v>44024</v>
      </c>
      <c r="AG182" s="3154">
        <v>44029</v>
      </c>
      <c r="AH182" s="3154">
        <v>44036</v>
      </c>
      <c r="AI182" s="3154">
        <v>44054</v>
      </c>
      <c r="AJ182" s="3154">
        <v>44834</v>
      </c>
      <c r="AK182" s="3149"/>
      <c r="AL182" s="3154">
        <v>43814</v>
      </c>
      <c r="AM182" s="3149" t="s">
        <v>3416</v>
      </c>
      <c r="AN182" s="3149" t="s">
        <v>3675</v>
      </c>
      <c r="AO182" s="3149" t="s">
        <v>3659</v>
      </c>
      <c r="AP182" s="3149"/>
      <c r="AQ182" s="3149"/>
      <c r="AR182" s="3149" t="s">
        <v>3500</v>
      </c>
      <c r="AS182" s="3149" t="s">
        <v>3501</v>
      </c>
      <c r="AT182" s="3149"/>
    </row>
    <row r="183" spans="1:46" ht="33.75">
      <c r="A183" s="3149">
        <v>175</v>
      </c>
      <c r="B183" s="3149" t="s">
        <v>3488</v>
      </c>
      <c r="C183" s="3149" t="s">
        <v>3489</v>
      </c>
      <c r="D183" s="3149" t="s">
        <v>3490</v>
      </c>
      <c r="E183" s="3149" t="s">
        <v>3631</v>
      </c>
      <c r="F183" s="3149" t="s">
        <v>3538</v>
      </c>
      <c r="G183" s="3149" t="s">
        <v>3529</v>
      </c>
      <c r="H183" s="3149" t="s">
        <v>3494</v>
      </c>
      <c r="I183" s="3149" t="s">
        <v>3633</v>
      </c>
      <c r="J183" s="3149" t="s">
        <v>3389</v>
      </c>
      <c r="K183" s="3149" t="s">
        <v>3496</v>
      </c>
      <c r="L183" s="3150">
        <v>97.84</v>
      </c>
      <c r="M183" s="3150">
        <v>77.13</v>
      </c>
      <c r="N183" s="3161">
        <v>97.84</v>
      </c>
      <c r="O183" s="3150">
        <v>77.13</v>
      </c>
      <c r="P183" s="3151">
        <v>9500</v>
      </c>
      <c r="Q183" s="3151">
        <v>12050.82</v>
      </c>
      <c r="R183" s="3151">
        <v>929480</v>
      </c>
      <c r="S183" s="3151">
        <v>12139.1047</v>
      </c>
      <c r="T183" s="3151">
        <v>15398.5479</v>
      </c>
      <c r="U183" s="3151">
        <v>1187690</v>
      </c>
      <c r="V183" s="3151">
        <v>9999</v>
      </c>
      <c r="W183" s="3151">
        <v>12683.81</v>
      </c>
      <c r="X183" s="3151">
        <v>978302</v>
      </c>
      <c r="Y183" s="3152">
        <v>978302</v>
      </c>
      <c r="Z183" s="3152">
        <v>0</v>
      </c>
      <c r="AA183" s="3153"/>
      <c r="AB183" s="3151">
        <v>978302</v>
      </c>
      <c r="AC183" s="3154">
        <v>43819</v>
      </c>
      <c r="AD183" s="3154">
        <v>44102.575221215273</v>
      </c>
      <c r="AE183" s="3154">
        <v>43847.564216666666</v>
      </c>
      <c r="AF183" s="3154">
        <v>44123</v>
      </c>
      <c r="AG183" s="3154">
        <v>44130</v>
      </c>
      <c r="AH183" s="3154">
        <v>44153</v>
      </c>
      <c r="AI183" s="3154">
        <v>44160</v>
      </c>
      <c r="AJ183" s="3154">
        <v>44834</v>
      </c>
      <c r="AK183" s="3149"/>
      <c r="AL183" s="3154">
        <v>43814</v>
      </c>
      <c r="AM183" s="3149" t="s">
        <v>3416</v>
      </c>
      <c r="AN183" s="3149" t="s">
        <v>3676</v>
      </c>
      <c r="AO183" s="3149" t="s">
        <v>3581</v>
      </c>
      <c r="AP183" s="3149" t="s">
        <v>3499</v>
      </c>
      <c r="AQ183" s="3149" t="s">
        <v>3499</v>
      </c>
      <c r="AR183" s="3149" t="s">
        <v>3505</v>
      </c>
      <c r="AS183" s="3149" t="s">
        <v>3561</v>
      </c>
      <c r="AT183" s="3149" t="s">
        <v>3677</v>
      </c>
    </row>
    <row r="184" spans="1:46" ht="33.75">
      <c r="A184" s="3149">
        <v>176</v>
      </c>
      <c r="B184" s="3149" t="s">
        <v>3488</v>
      </c>
      <c r="C184" s="3149" t="s">
        <v>3489</v>
      </c>
      <c r="D184" s="3149" t="s">
        <v>3490</v>
      </c>
      <c r="E184" s="3149" t="s">
        <v>3631</v>
      </c>
      <c r="F184" s="3149" t="s">
        <v>3538</v>
      </c>
      <c r="G184" s="3149" t="s">
        <v>3530</v>
      </c>
      <c r="H184" s="3149" t="s">
        <v>3494</v>
      </c>
      <c r="I184" s="3149" t="s">
        <v>3633</v>
      </c>
      <c r="J184" s="3149" t="s">
        <v>3389</v>
      </c>
      <c r="K184" s="3149" t="s">
        <v>3496</v>
      </c>
      <c r="L184" s="3150">
        <v>97.84</v>
      </c>
      <c r="M184" s="3150">
        <v>77.13</v>
      </c>
      <c r="N184" s="3161">
        <v>97.84</v>
      </c>
      <c r="O184" s="3150">
        <v>77.13</v>
      </c>
      <c r="P184" s="3151">
        <v>9785</v>
      </c>
      <c r="Q184" s="3151">
        <v>12412.34</v>
      </c>
      <c r="R184" s="3151">
        <v>957364</v>
      </c>
      <c r="S184" s="3151">
        <v>11407.941500000001</v>
      </c>
      <c r="T184" s="3151">
        <v>14471.061799999999</v>
      </c>
      <c r="U184" s="3151">
        <v>1116153</v>
      </c>
      <c r="V184" s="3151">
        <v>9785.01</v>
      </c>
      <c r="W184" s="3151">
        <v>12412.36</v>
      </c>
      <c r="X184" s="3151">
        <v>957365</v>
      </c>
      <c r="Y184" s="3152">
        <v>957365</v>
      </c>
      <c r="Z184" s="3152">
        <v>0</v>
      </c>
      <c r="AA184" s="3153"/>
      <c r="AB184" s="3151">
        <v>957365</v>
      </c>
      <c r="AC184" s="3154">
        <v>43819</v>
      </c>
      <c r="AD184" s="3154">
        <v>44372.487411145834</v>
      </c>
      <c r="AE184" s="3154">
        <v>43847.564216666666</v>
      </c>
      <c r="AF184" s="3154">
        <v>44533</v>
      </c>
      <c r="AG184" s="3154">
        <v>44533</v>
      </c>
      <c r="AH184" s="3149"/>
      <c r="AI184" s="3149"/>
      <c r="AJ184" s="3154">
        <v>45199</v>
      </c>
      <c r="AK184" s="3149"/>
      <c r="AL184" s="3154">
        <v>43814</v>
      </c>
      <c r="AM184" s="3149" t="s">
        <v>3516</v>
      </c>
      <c r="AN184" s="3149" t="s">
        <v>3678</v>
      </c>
      <c r="AO184" s="3149" t="s">
        <v>3518</v>
      </c>
      <c r="AP184" s="3149" t="s">
        <v>3499</v>
      </c>
      <c r="AQ184" s="3149" t="s">
        <v>3499</v>
      </c>
      <c r="AR184" s="3149" t="s">
        <v>3519</v>
      </c>
      <c r="AS184" s="3149" t="s">
        <v>3520</v>
      </c>
      <c r="AT184" s="3149"/>
    </row>
    <row r="185" spans="1:46" ht="33.75">
      <c r="A185" s="3149">
        <v>177</v>
      </c>
      <c r="B185" s="3149" t="s">
        <v>3488</v>
      </c>
      <c r="C185" s="3149" t="s">
        <v>3489</v>
      </c>
      <c r="D185" s="3149" t="s">
        <v>3490</v>
      </c>
      <c r="E185" s="3149" t="s">
        <v>3631</v>
      </c>
      <c r="F185" s="3149" t="s">
        <v>3538</v>
      </c>
      <c r="G185" s="3149" t="s">
        <v>3532</v>
      </c>
      <c r="H185" s="3149" t="s">
        <v>3494</v>
      </c>
      <c r="I185" s="3149" t="s">
        <v>3633</v>
      </c>
      <c r="J185" s="3149" t="s">
        <v>3389</v>
      </c>
      <c r="K185" s="3149" t="s">
        <v>3496</v>
      </c>
      <c r="L185" s="3150">
        <v>97.84</v>
      </c>
      <c r="M185" s="3150">
        <v>77.13</v>
      </c>
      <c r="N185" s="3161">
        <v>97.84</v>
      </c>
      <c r="O185" s="3150">
        <v>77.13</v>
      </c>
      <c r="P185" s="3151">
        <v>11637</v>
      </c>
      <c r="Q185" s="3151">
        <v>14761.62</v>
      </c>
      <c r="R185" s="3151">
        <v>1138564</v>
      </c>
      <c r="S185" s="3151">
        <v>12244.327499999999</v>
      </c>
      <c r="T185" s="3151">
        <v>15532.0239</v>
      </c>
      <c r="U185" s="3151">
        <v>1197985</v>
      </c>
      <c r="V185" s="3151">
        <v>11055.16</v>
      </c>
      <c r="W185" s="3151">
        <v>14023.56</v>
      </c>
      <c r="X185" s="3151">
        <v>1081637</v>
      </c>
      <c r="Y185" s="3152">
        <v>1081637</v>
      </c>
      <c r="Z185" s="3152">
        <v>0</v>
      </c>
      <c r="AA185" s="3153"/>
      <c r="AB185" s="3151">
        <v>1081637</v>
      </c>
      <c r="AC185" s="3154">
        <v>43819</v>
      </c>
      <c r="AD185" s="3154">
        <v>43847.46574915509</v>
      </c>
      <c r="AE185" s="3154">
        <v>43847.564216666666</v>
      </c>
      <c r="AF185" s="3154">
        <v>43889</v>
      </c>
      <c r="AG185" s="3154">
        <v>43948</v>
      </c>
      <c r="AH185" s="3154">
        <v>45093</v>
      </c>
      <c r="AI185" s="3154">
        <v>45107</v>
      </c>
      <c r="AJ185" s="3154">
        <v>44834</v>
      </c>
      <c r="AK185" s="3149"/>
      <c r="AL185" s="3154">
        <v>43814</v>
      </c>
      <c r="AM185" s="3149" t="s">
        <v>3416</v>
      </c>
      <c r="AN185" s="3149" t="s">
        <v>3679</v>
      </c>
      <c r="AO185" s="3149" t="s">
        <v>3622</v>
      </c>
      <c r="AP185" s="3149" t="s">
        <v>3499</v>
      </c>
      <c r="AQ185" s="3149" t="s">
        <v>3499</v>
      </c>
      <c r="AR185" s="3149"/>
      <c r="AS185" s="3149"/>
      <c r="AT185" s="3149"/>
    </row>
    <row r="186" spans="1:46" ht="33.75">
      <c r="A186" s="3149">
        <v>178</v>
      </c>
      <c r="B186" s="3149" t="s">
        <v>3488</v>
      </c>
      <c r="C186" s="3149" t="s">
        <v>3489</v>
      </c>
      <c r="D186" s="3149" t="s">
        <v>3490</v>
      </c>
      <c r="E186" s="3149" t="s">
        <v>3631</v>
      </c>
      <c r="F186" s="3149" t="s">
        <v>3538</v>
      </c>
      <c r="G186" s="3149" t="s">
        <v>3534</v>
      </c>
      <c r="H186" s="3149" t="s">
        <v>3494</v>
      </c>
      <c r="I186" s="3149" t="s">
        <v>3633</v>
      </c>
      <c r="J186" s="3149" t="s">
        <v>3389</v>
      </c>
      <c r="K186" s="3149" t="s">
        <v>3496</v>
      </c>
      <c r="L186" s="3150">
        <v>97.84</v>
      </c>
      <c r="M186" s="3150">
        <v>77.13</v>
      </c>
      <c r="N186" s="3161">
        <v>97.84</v>
      </c>
      <c r="O186" s="3150">
        <v>77.13</v>
      </c>
      <c r="P186" s="3151">
        <v>9500</v>
      </c>
      <c r="Q186" s="3151">
        <v>12050.82</v>
      </c>
      <c r="R186" s="3151">
        <v>929480</v>
      </c>
      <c r="S186" s="3151">
        <v>12244.327499999999</v>
      </c>
      <c r="T186" s="3151">
        <v>15532.0239</v>
      </c>
      <c r="U186" s="3151">
        <v>1197985</v>
      </c>
      <c r="V186" s="3151">
        <v>9999</v>
      </c>
      <c r="W186" s="3151">
        <v>12683.81</v>
      </c>
      <c r="X186" s="3151">
        <v>978302</v>
      </c>
      <c r="Y186" s="3152">
        <v>978302</v>
      </c>
      <c r="Z186" s="3152">
        <v>0</v>
      </c>
      <c r="AA186" s="3153"/>
      <c r="AB186" s="3151">
        <v>978302</v>
      </c>
      <c r="AC186" s="3154">
        <v>43819</v>
      </c>
      <c r="AD186" s="3154">
        <v>44102.575221215273</v>
      </c>
      <c r="AE186" s="3154">
        <v>43847.564216666666</v>
      </c>
      <c r="AF186" s="3154">
        <v>44141</v>
      </c>
      <c r="AG186" s="3154">
        <v>44141</v>
      </c>
      <c r="AH186" s="3154">
        <v>44155</v>
      </c>
      <c r="AI186" s="3154">
        <v>44160</v>
      </c>
      <c r="AJ186" s="3154">
        <v>44834</v>
      </c>
      <c r="AK186" s="3149"/>
      <c r="AL186" s="3154">
        <v>43814</v>
      </c>
      <c r="AM186" s="3149" t="s">
        <v>3416</v>
      </c>
      <c r="AN186" s="3149" t="s">
        <v>3680</v>
      </c>
      <c r="AO186" s="3149" t="s">
        <v>3540</v>
      </c>
      <c r="AP186" s="3149" t="s">
        <v>3499</v>
      </c>
      <c r="AQ186" s="3149" t="s">
        <v>3499</v>
      </c>
      <c r="AR186" s="3149" t="s">
        <v>3500</v>
      </c>
      <c r="AS186" s="3149" t="s">
        <v>3501</v>
      </c>
      <c r="AT186" s="3149"/>
    </row>
    <row r="187" spans="1:46" ht="33.75">
      <c r="A187" s="3149">
        <v>179</v>
      </c>
      <c r="B187" s="3149" t="s">
        <v>3488</v>
      </c>
      <c r="C187" s="3149" t="s">
        <v>3489</v>
      </c>
      <c r="D187" s="3149" t="s">
        <v>3490</v>
      </c>
      <c r="E187" s="3149" t="s">
        <v>3631</v>
      </c>
      <c r="F187" s="3149" t="s">
        <v>3538</v>
      </c>
      <c r="G187" s="3149" t="s">
        <v>3536</v>
      </c>
      <c r="H187" s="3149" t="s">
        <v>3494</v>
      </c>
      <c r="I187" s="3149" t="s">
        <v>3633</v>
      </c>
      <c r="J187" s="3149" t="s">
        <v>3389</v>
      </c>
      <c r="K187" s="3149" t="s">
        <v>3496</v>
      </c>
      <c r="L187" s="3150">
        <v>134.38999999999999</v>
      </c>
      <c r="M187" s="3150">
        <v>105.94</v>
      </c>
      <c r="N187" s="3161">
        <v>134.38999999999999</v>
      </c>
      <c r="O187" s="3150">
        <v>105.94</v>
      </c>
      <c r="P187" s="3151">
        <v>8550</v>
      </c>
      <c r="Q187" s="3151">
        <v>10846.09</v>
      </c>
      <c r="R187" s="3151">
        <v>1149035</v>
      </c>
      <c r="S187" s="3151">
        <v>9968.1077000000005</v>
      </c>
      <c r="T187" s="3151">
        <v>12645.0255</v>
      </c>
      <c r="U187" s="3151">
        <v>1339614</v>
      </c>
      <c r="V187" s="3151">
        <v>8550</v>
      </c>
      <c r="W187" s="3151">
        <v>10846.09</v>
      </c>
      <c r="X187" s="3151">
        <v>1149035</v>
      </c>
      <c r="Y187" s="3152">
        <v>1149035</v>
      </c>
      <c r="Z187" s="3152">
        <v>0</v>
      </c>
      <c r="AA187" s="3153"/>
      <c r="AB187" s="3151">
        <v>1149035</v>
      </c>
      <c r="AC187" s="3154">
        <v>43819</v>
      </c>
      <c r="AD187" s="3154">
        <v>44372.487411145834</v>
      </c>
      <c r="AE187" s="3154">
        <v>43847.564216666666</v>
      </c>
      <c r="AF187" s="3154">
        <v>44439</v>
      </c>
      <c r="AG187" s="3154">
        <v>44439</v>
      </c>
      <c r="AH187" s="3149"/>
      <c r="AI187" s="3149"/>
      <c r="AJ187" s="3154">
        <v>45199</v>
      </c>
      <c r="AK187" s="3149"/>
      <c r="AL187" s="3154">
        <v>43814</v>
      </c>
      <c r="AM187" s="3149" t="s">
        <v>3516</v>
      </c>
      <c r="AN187" s="3149" t="s">
        <v>3681</v>
      </c>
      <c r="AO187" s="3149" t="s">
        <v>3540</v>
      </c>
      <c r="AP187" s="3149" t="s">
        <v>3499</v>
      </c>
      <c r="AQ187" s="3149" t="s">
        <v>3499</v>
      </c>
      <c r="AR187" s="3149" t="s">
        <v>3519</v>
      </c>
      <c r="AS187" s="3149" t="s">
        <v>3520</v>
      </c>
      <c r="AT187" s="3149"/>
    </row>
    <row r="188" spans="1:46" ht="33.75">
      <c r="A188" s="3149">
        <v>180</v>
      </c>
      <c r="B188" s="3149" t="s">
        <v>3488</v>
      </c>
      <c r="C188" s="3149" t="s">
        <v>3489</v>
      </c>
      <c r="D188" s="3149" t="s">
        <v>3490</v>
      </c>
      <c r="E188" s="3149" t="s">
        <v>3631</v>
      </c>
      <c r="F188" s="3149" t="s">
        <v>3538</v>
      </c>
      <c r="G188" s="3149" t="s">
        <v>3537</v>
      </c>
      <c r="H188" s="3149" t="s">
        <v>3494</v>
      </c>
      <c r="I188" s="3149" t="s">
        <v>3633</v>
      </c>
      <c r="J188" s="3149" t="s">
        <v>3389</v>
      </c>
      <c r="K188" s="3149" t="s">
        <v>3496</v>
      </c>
      <c r="L188" s="3150">
        <v>134.38999999999999</v>
      </c>
      <c r="M188" s="3150">
        <v>105.94</v>
      </c>
      <c r="N188" s="3161">
        <v>134.38999999999999</v>
      </c>
      <c r="O188" s="3150">
        <v>105.94</v>
      </c>
      <c r="P188" s="3151">
        <v>8550</v>
      </c>
      <c r="Q188" s="3151">
        <v>10846.09</v>
      </c>
      <c r="R188" s="3151">
        <v>1149035</v>
      </c>
      <c r="S188" s="3151">
        <v>9968.1077000000005</v>
      </c>
      <c r="T188" s="3151">
        <v>12645.0255</v>
      </c>
      <c r="U188" s="3151">
        <v>1339614</v>
      </c>
      <c r="V188" s="3151">
        <v>8550</v>
      </c>
      <c r="W188" s="3151">
        <v>10846.09</v>
      </c>
      <c r="X188" s="3151">
        <v>1149035</v>
      </c>
      <c r="Y188" s="3152">
        <v>1149035</v>
      </c>
      <c r="Z188" s="3152">
        <v>0</v>
      </c>
      <c r="AA188" s="3153"/>
      <c r="AB188" s="3151">
        <v>1149035</v>
      </c>
      <c r="AC188" s="3154">
        <v>43819</v>
      </c>
      <c r="AD188" s="3154">
        <v>44372.487411145834</v>
      </c>
      <c r="AE188" s="3154">
        <v>43847.564216666666</v>
      </c>
      <c r="AF188" s="3154">
        <v>44557</v>
      </c>
      <c r="AG188" s="3154">
        <v>44557</v>
      </c>
      <c r="AH188" s="3149"/>
      <c r="AI188" s="3149"/>
      <c r="AJ188" s="3154">
        <v>45199</v>
      </c>
      <c r="AK188" s="3149"/>
      <c r="AL188" s="3154">
        <v>43814</v>
      </c>
      <c r="AM188" s="3149" t="s">
        <v>3516</v>
      </c>
      <c r="AN188" s="3149" t="s">
        <v>3666</v>
      </c>
      <c r="AO188" s="3149" t="s">
        <v>3498</v>
      </c>
      <c r="AP188" s="3149" t="s">
        <v>3499</v>
      </c>
      <c r="AQ188" s="3149" t="s">
        <v>3499</v>
      </c>
      <c r="AR188" s="3149" t="s">
        <v>3519</v>
      </c>
      <c r="AS188" s="3149" t="s">
        <v>3520</v>
      </c>
      <c r="AT188" s="3149"/>
    </row>
    <row r="189" spans="1:46" ht="33.75">
      <c r="A189" s="3149">
        <v>181</v>
      </c>
      <c r="B189" s="3149" t="s">
        <v>3488</v>
      </c>
      <c r="C189" s="3149" t="s">
        <v>3489</v>
      </c>
      <c r="D189" s="3149" t="s">
        <v>3490</v>
      </c>
      <c r="E189" s="3149" t="s">
        <v>3631</v>
      </c>
      <c r="F189" s="3149" t="s">
        <v>3546</v>
      </c>
      <c r="G189" s="3149" t="s">
        <v>3493</v>
      </c>
      <c r="H189" s="3149" t="s">
        <v>3494</v>
      </c>
      <c r="I189" s="3149" t="s">
        <v>3633</v>
      </c>
      <c r="J189" s="3149" t="s">
        <v>3389</v>
      </c>
      <c r="K189" s="3149" t="s">
        <v>3496</v>
      </c>
      <c r="L189" s="3150">
        <v>97.84</v>
      </c>
      <c r="M189" s="3150">
        <v>77.13</v>
      </c>
      <c r="N189" s="3161">
        <v>97.84</v>
      </c>
      <c r="O189" s="3150">
        <v>77.13</v>
      </c>
      <c r="P189" s="3151">
        <v>13900</v>
      </c>
      <c r="Q189" s="3151">
        <v>17632.259999999998</v>
      </c>
      <c r="R189" s="3151">
        <v>1359976</v>
      </c>
      <c r="S189" s="3151">
        <v>13900</v>
      </c>
      <c r="T189" s="3151">
        <v>17632.2572</v>
      </c>
      <c r="U189" s="3151">
        <v>1359976</v>
      </c>
      <c r="V189" s="3151">
        <v>13900</v>
      </c>
      <c r="W189" s="3151">
        <v>17632.259999999998</v>
      </c>
      <c r="X189" s="3151">
        <v>1359976</v>
      </c>
      <c r="Y189" s="3152">
        <v>1359976</v>
      </c>
      <c r="Z189" s="3152">
        <v>0</v>
      </c>
      <c r="AA189" s="3153"/>
      <c r="AB189" s="3151">
        <v>1359976</v>
      </c>
      <c r="AC189" s="3154">
        <v>43819</v>
      </c>
      <c r="AD189" s="3154">
        <v>44340.61745262731</v>
      </c>
      <c r="AE189" s="3154">
        <v>43847.564216666666</v>
      </c>
      <c r="AF189" s="3154">
        <v>44340</v>
      </c>
      <c r="AG189" s="3154">
        <v>44340</v>
      </c>
      <c r="AH189" s="3154">
        <v>44336</v>
      </c>
      <c r="AI189" s="3154">
        <v>44341</v>
      </c>
      <c r="AJ189" s="3154">
        <v>44834</v>
      </c>
      <c r="AK189" s="3149"/>
      <c r="AL189" s="3154">
        <v>43814</v>
      </c>
      <c r="AM189" s="3149" t="s">
        <v>3416</v>
      </c>
      <c r="AN189" s="3149" t="s">
        <v>3682</v>
      </c>
      <c r="AO189" s="3149" t="s">
        <v>3540</v>
      </c>
      <c r="AP189" s="3149" t="s">
        <v>3499</v>
      </c>
      <c r="AQ189" s="3149" t="s">
        <v>3499</v>
      </c>
      <c r="AR189" s="3149" t="s">
        <v>3500</v>
      </c>
      <c r="AS189" s="3149" t="s">
        <v>3501</v>
      </c>
      <c r="AT189" s="3149"/>
    </row>
    <row r="190" spans="1:46" ht="33.75">
      <c r="A190" s="3149">
        <v>182</v>
      </c>
      <c r="B190" s="3149" t="s">
        <v>3488</v>
      </c>
      <c r="C190" s="3149" t="s">
        <v>3489</v>
      </c>
      <c r="D190" s="3149" t="s">
        <v>3490</v>
      </c>
      <c r="E190" s="3149" t="s">
        <v>3631</v>
      </c>
      <c r="F190" s="3149" t="s">
        <v>3546</v>
      </c>
      <c r="G190" s="3149" t="s">
        <v>3502</v>
      </c>
      <c r="H190" s="3149" t="s">
        <v>3509</v>
      </c>
      <c r="I190" s="3149" t="s">
        <v>3633</v>
      </c>
      <c r="J190" s="3149" t="s">
        <v>3389</v>
      </c>
      <c r="K190" s="3149" t="s">
        <v>3496</v>
      </c>
      <c r="L190" s="3150">
        <v>97.84</v>
      </c>
      <c r="M190" s="3150">
        <v>77.13</v>
      </c>
      <c r="N190" s="3161">
        <v>97.84</v>
      </c>
      <c r="O190" s="3150">
        <v>77.13</v>
      </c>
      <c r="P190" s="3151">
        <v>5900</v>
      </c>
      <c r="Q190" s="3151">
        <v>7484.2</v>
      </c>
      <c r="R190" s="3151">
        <v>577256</v>
      </c>
      <c r="S190" s="3151">
        <v>5900</v>
      </c>
      <c r="T190" s="3151">
        <v>7484.1954999999998</v>
      </c>
      <c r="U190" s="3151">
        <v>577256</v>
      </c>
      <c r="V190" s="3153"/>
      <c r="W190" s="3153"/>
      <c r="X190" s="3153"/>
      <c r="Y190" s="3153"/>
      <c r="Z190" s="3152">
        <v>0</v>
      </c>
      <c r="AA190" s="3153"/>
      <c r="AB190" s="3151">
        <v>0</v>
      </c>
      <c r="AC190" s="3154">
        <v>43819</v>
      </c>
      <c r="AD190" s="3154">
        <v>45264.773614039354</v>
      </c>
      <c r="AE190" s="3154">
        <v>43847.564216666666</v>
      </c>
      <c r="AF190" s="3149"/>
      <c r="AG190" s="3149"/>
      <c r="AH190" s="3149"/>
      <c r="AI190" s="3149"/>
      <c r="AJ190" s="3149"/>
      <c r="AK190" s="3149"/>
      <c r="AL190" s="3154">
        <v>43814</v>
      </c>
      <c r="AM190" s="3149"/>
      <c r="AN190" s="3149"/>
      <c r="AO190" s="3149"/>
      <c r="AP190" s="3149"/>
      <c r="AQ190" s="3149"/>
      <c r="AR190" s="3149"/>
      <c r="AS190" s="3149"/>
      <c r="AT190" s="3149"/>
    </row>
    <row r="191" spans="1:46" ht="33.75">
      <c r="A191" s="3149">
        <v>183</v>
      </c>
      <c r="B191" s="3149" t="s">
        <v>3488</v>
      </c>
      <c r="C191" s="3149" t="s">
        <v>3489</v>
      </c>
      <c r="D191" s="3149" t="s">
        <v>3490</v>
      </c>
      <c r="E191" s="3149" t="s">
        <v>3631</v>
      </c>
      <c r="F191" s="3149" t="s">
        <v>3546</v>
      </c>
      <c r="G191" s="3149" t="s">
        <v>3508</v>
      </c>
      <c r="H191" s="3149" t="s">
        <v>3494</v>
      </c>
      <c r="I191" s="3149" t="s">
        <v>3633</v>
      </c>
      <c r="J191" s="3149" t="s">
        <v>3389</v>
      </c>
      <c r="K191" s="3149" t="s">
        <v>3496</v>
      </c>
      <c r="L191" s="3150">
        <v>97.84</v>
      </c>
      <c r="M191" s="3150">
        <v>77.13</v>
      </c>
      <c r="N191" s="3161">
        <v>97.84</v>
      </c>
      <c r="O191" s="3150">
        <v>77.13</v>
      </c>
      <c r="P191" s="3151">
        <v>10220.77</v>
      </c>
      <c r="Q191" s="3151">
        <v>12965.12</v>
      </c>
      <c r="R191" s="3151">
        <v>1000000</v>
      </c>
      <c r="S191" s="3151">
        <v>10754.1803</v>
      </c>
      <c r="T191" s="3151">
        <v>13641.760700000001</v>
      </c>
      <c r="U191" s="3151">
        <v>1052189</v>
      </c>
      <c r="V191" s="3151">
        <v>9709.73</v>
      </c>
      <c r="W191" s="3151">
        <v>12316.87</v>
      </c>
      <c r="X191" s="3151">
        <v>950000</v>
      </c>
      <c r="Y191" s="3152">
        <v>950000</v>
      </c>
      <c r="Z191" s="3152">
        <v>0</v>
      </c>
      <c r="AA191" s="3153"/>
      <c r="AB191" s="3151">
        <v>950000</v>
      </c>
      <c r="AC191" s="3154">
        <v>43819</v>
      </c>
      <c r="AD191" s="3154">
        <v>43847.46574915509</v>
      </c>
      <c r="AE191" s="3154">
        <v>43847.564216666666</v>
      </c>
      <c r="AF191" s="3154">
        <v>43851</v>
      </c>
      <c r="AG191" s="3154">
        <v>43903</v>
      </c>
      <c r="AH191" s="3154">
        <v>43938</v>
      </c>
      <c r="AI191" s="3154">
        <v>43949</v>
      </c>
      <c r="AJ191" s="3154">
        <v>44834</v>
      </c>
      <c r="AK191" s="3149"/>
      <c r="AL191" s="3154">
        <v>43814</v>
      </c>
      <c r="AM191" s="3149" t="s">
        <v>3416</v>
      </c>
      <c r="AN191" s="3149" t="s">
        <v>3683</v>
      </c>
      <c r="AO191" s="3149" t="s">
        <v>3591</v>
      </c>
      <c r="AP191" s="3149" t="s">
        <v>3499</v>
      </c>
      <c r="AQ191" s="3149" t="s">
        <v>3499</v>
      </c>
      <c r="AR191" s="3149"/>
      <c r="AS191" s="3149"/>
      <c r="AT191" s="3149"/>
    </row>
    <row r="192" spans="1:46" ht="33.75">
      <c r="A192" s="3149">
        <v>184</v>
      </c>
      <c r="B192" s="3149" t="s">
        <v>3488</v>
      </c>
      <c r="C192" s="3149" t="s">
        <v>3489</v>
      </c>
      <c r="D192" s="3149" t="s">
        <v>3490</v>
      </c>
      <c r="E192" s="3149" t="s">
        <v>3631</v>
      </c>
      <c r="F192" s="3149" t="s">
        <v>3546</v>
      </c>
      <c r="G192" s="3149" t="s">
        <v>3510</v>
      </c>
      <c r="H192" s="3149" t="s">
        <v>3494</v>
      </c>
      <c r="I192" s="3149" t="s">
        <v>3633</v>
      </c>
      <c r="J192" s="3149" t="s">
        <v>3389</v>
      </c>
      <c r="K192" s="3149" t="s">
        <v>3496</v>
      </c>
      <c r="L192" s="3150">
        <v>97.84</v>
      </c>
      <c r="M192" s="3150">
        <v>77.13</v>
      </c>
      <c r="N192" s="3161">
        <v>97.84</v>
      </c>
      <c r="O192" s="3150">
        <v>77.13</v>
      </c>
      <c r="P192" s="3151">
        <v>8500</v>
      </c>
      <c r="Q192" s="3151">
        <v>10782.32</v>
      </c>
      <c r="R192" s="3151">
        <v>831640</v>
      </c>
      <c r="S192" s="3151">
        <v>10964.9223</v>
      </c>
      <c r="T192" s="3151">
        <v>13909.088599999999</v>
      </c>
      <c r="U192" s="3151">
        <v>1072808</v>
      </c>
      <c r="V192" s="3151">
        <v>8500</v>
      </c>
      <c r="W192" s="3151">
        <v>10782.32</v>
      </c>
      <c r="X192" s="3151">
        <v>831640</v>
      </c>
      <c r="Y192" s="3152">
        <v>831640</v>
      </c>
      <c r="Z192" s="3152">
        <v>0</v>
      </c>
      <c r="AA192" s="3153"/>
      <c r="AB192" s="3151">
        <v>831640</v>
      </c>
      <c r="AC192" s="3154">
        <v>43819</v>
      </c>
      <c r="AD192" s="3154">
        <v>44335.729739895833</v>
      </c>
      <c r="AE192" s="3154">
        <v>43847.564216666666</v>
      </c>
      <c r="AF192" s="3154">
        <v>44340</v>
      </c>
      <c r="AG192" s="3154">
        <v>44341</v>
      </c>
      <c r="AH192" s="3154">
        <v>44357</v>
      </c>
      <c r="AI192" s="3154">
        <v>44364</v>
      </c>
      <c r="AJ192" s="3154">
        <v>44834</v>
      </c>
      <c r="AK192" s="3149"/>
      <c r="AL192" s="3154">
        <v>43814</v>
      </c>
      <c r="AM192" s="3149" t="s">
        <v>3416</v>
      </c>
      <c r="AN192" s="3149" t="s">
        <v>3684</v>
      </c>
      <c r="AO192" s="3149" t="s">
        <v>3685</v>
      </c>
      <c r="AP192" s="3149" t="s">
        <v>3499</v>
      </c>
      <c r="AQ192" s="3149" t="s">
        <v>3499</v>
      </c>
      <c r="AR192" s="3149" t="s">
        <v>3500</v>
      </c>
      <c r="AS192" s="3149" t="s">
        <v>3501</v>
      </c>
      <c r="AT192" s="3149"/>
    </row>
    <row r="193" spans="1:46" ht="33.75">
      <c r="A193" s="3149">
        <v>185</v>
      </c>
      <c r="B193" s="3149" t="s">
        <v>3488</v>
      </c>
      <c r="C193" s="3149" t="s">
        <v>3489</v>
      </c>
      <c r="D193" s="3149" t="s">
        <v>3490</v>
      </c>
      <c r="E193" s="3149" t="s">
        <v>3631</v>
      </c>
      <c r="F193" s="3149" t="s">
        <v>3546</v>
      </c>
      <c r="G193" s="3149" t="s">
        <v>3511</v>
      </c>
      <c r="H193" s="3149" t="s">
        <v>3494</v>
      </c>
      <c r="I193" s="3149" t="s">
        <v>3633</v>
      </c>
      <c r="J193" s="3149" t="s">
        <v>3389</v>
      </c>
      <c r="K193" s="3149" t="s">
        <v>3496</v>
      </c>
      <c r="L193" s="3150">
        <v>97.84</v>
      </c>
      <c r="M193" s="3150">
        <v>77.13</v>
      </c>
      <c r="N193" s="3161">
        <v>97.84</v>
      </c>
      <c r="O193" s="3150">
        <v>77.13</v>
      </c>
      <c r="P193" s="3151">
        <v>10834.01</v>
      </c>
      <c r="Q193" s="3151">
        <v>13743.03</v>
      </c>
      <c r="R193" s="3151">
        <v>1060000</v>
      </c>
      <c r="S193" s="3151">
        <v>11399.427600000001</v>
      </c>
      <c r="T193" s="3151">
        <v>14460.2619</v>
      </c>
      <c r="U193" s="3151">
        <v>1115320</v>
      </c>
      <c r="V193" s="3151">
        <v>10731.81</v>
      </c>
      <c r="W193" s="3151">
        <v>13613.38</v>
      </c>
      <c r="X193" s="3151">
        <v>1050000</v>
      </c>
      <c r="Y193" s="3152">
        <v>1050000</v>
      </c>
      <c r="Z193" s="3152">
        <v>0</v>
      </c>
      <c r="AA193" s="3153"/>
      <c r="AB193" s="3151">
        <v>1050000</v>
      </c>
      <c r="AC193" s="3154">
        <v>43819</v>
      </c>
      <c r="AD193" s="3154">
        <v>43847.46574915509</v>
      </c>
      <c r="AE193" s="3154">
        <v>43847.564216666666</v>
      </c>
      <c r="AF193" s="3154">
        <v>43878</v>
      </c>
      <c r="AG193" s="3154">
        <v>43910</v>
      </c>
      <c r="AH193" s="3154">
        <v>43937</v>
      </c>
      <c r="AI193" s="3154">
        <v>43949</v>
      </c>
      <c r="AJ193" s="3154">
        <v>44834</v>
      </c>
      <c r="AK193" s="3149"/>
      <c r="AL193" s="3154">
        <v>43814</v>
      </c>
      <c r="AM193" s="3149" t="s">
        <v>3416</v>
      </c>
      <c r="AN193" s="3149" t="s">
        <v>3686</v>
      </c>
      <c r="AO193" s="3149" t="s">
        <v>3645</v>
      </c>
      <c r="AP193" s="3149" t="s">
        <v>3577</v>
      </c>
      <c r="AQ193" s="3149"/>
      <c r="AR193" s="3149"/>
      <c r="AS193" s="3149"/>
      <c r="AT193" s="3149"/>
    </row>
    <row r="194" spans="1:46" ht="33.75">
      <c r="A194" s="3149">
        <v>186</v>
      </c>
      <c r="B194" s="3149" t="s">
        <v>3488</v>
      </c>
      <c r="C194" s="3149" t="s">
        <v>3489</v>
      </c>
      <c r="D194" s="3149" t="s">
        <v>3490</v>
      </c>
      <c r="E194" s="3149" t="s">
        <v>3631</v>
      </c>
      <c r="F194" s="3149" t="s">
        <v>3546</v>
      </c>
      <c r="G194" s="3149" t="s">
        <v>3512</v>
      </c>
      <c r="H194" s="3149" t="s">
        <v>3494</v>
      </c>
      <c r="I194" s="3149" t="s">
        <v>3633</v>
      </c>
      <c r="J194" s="3149" t="s">
        <v>3389</v>
      </c>
      <c r="K194" s="3149" t="s">
        <v>3496</v>
      </c>
      <c r="L194" s="3150">
        <v>97.84</v>
      </c>
      <c r="M194" s="3150">
        <v>77.13</v>
      </c>
      <c r="N194" s="3161">
        <v>97.84</v>
      </c>
      <c r="O194" s="3150">
        <v>77.13</v>
      </c>
      <c r="P194" s="3151">
        <v>8500</v>
      </c>
      <c r="Q194" s="3151">
        <v>10782.32</v>
      </c>
      <c r="R194" s="3151">
        <v>831640</v>
      </c>
      <c r="S194" s="3151">
        <v>11399.427600000001</v>
      </c>
      <c r="T194" s="3151">
        <v>14460.2619</v>
      </c>
      <c r="U194" s="3151">
        <v>1115320</v>
      </c>
      <c r="V194" s="3151">
        <v>8500</v>
      </c>
      <c r="W194" s="3151">
        <v>10782.32</v>
      </c>
      <c r="X194" s="3151">
        <v>831640</v>
      </c>
      <c r="Y194" s="3152">
        <v>831640</v>
      </c>
      <c r="Z194" s="3152">
        <v>0</v>
      </c>
      <c r="AA194" s="3153"/>
      <c r="AB194" s="3151">
        <v>831640</v>
      </c>
      <c r="AC194" s="3154">
        <v>43819</v>
      </c>
      <c r="AD194" s="3154">
        <v>44335.729739895833</v>
      </c>
      <c r="AE194" s="3154">
        <v>43847.564216666666</v>
      </c>
      <c r="AF194" s="3154">
        <v>44349</v>
      </c>
      <c r="AG194" s="3154">
        <v>44349</v>
      </c>
      <c r="AH194" s="3154">
        <v>44782</v>
      </c>
      <c r="AI194" s="3154">
        <v>44799</v>
      </c>
      <c r="AJ194" s="3154">
        <v>44834</v>
      </c>
      <c r="AK194" s="3149"/>
      <c r="AL194" s="3154">
        <v>43814</v>
      </c>
      <c r="AM194" s="3149" t="s">
        <v>3416</v>
      </c>
      <c r="AN194" s="3149" t="s">
        <v>3687</v>
      </c>
      <c r="AO194" s="3149" t="s">
        <v>3581</v>
      </c>
      <c r="AP194" s="3149" t="s">
        <v>3499</v>
      </c>
      <c r="AQ194" s="3149" t="s">
        <v>3499</v>
      </c>
      <c r="AR194" s="3149" t="s">
        <v>3505</v>
      </c>
      <c r="AS194" s="3149" t="s">
        <v>3506</v>
      </c>
      <c r="AT194" s="3149" t="s">
        <v>3507</v>
      </c>
    </row>
    <row r="195" spans="1:46" ht="33.75">
      <c r="A195" s="3149">
        <v>187</v>
      </c>
      <c r="B195" s="3149" t="s">
        <v>3488</v>
      </c>
      <c r="C195" s="3149" t="s">
        <v>3489</v>
      </c>
      <c r="D195" s="3149" t="s">
        <v>3490</v>
      </c>
      <c r="E195" s="3149" t="s">
        <v>3631</v>
      </c>
      <c r="F195" s="3149" t="s">
        <v>3546</v>
      </c>
      <c r="G195" s="3149" t="s">
        <v>3513</v>
      </c>
      <c r="H195" s="3149" t="s">
        <v>3494</v>
      </c>
      <c r="I195" s="3149" t="s">
        <v>3633</v>
      </c>
      <c r="J195" s="3149" t="s">
        <v>3389</v>
      </c>
      <c r="K195" s="3149" t="s">
        <v>3496</v>
      </c>
      <c r="L195" s="3150">
        <v>97.84</v>
      </c>
      <c r="M195" s="3150">
        <v>77.13</v>
      </c>
      <c r="N195" s="3161">
        <v>97.84</v>
      </c>
      <c r="O195" s="3150">
        <v>77.13</v>
      </c>
      <c r="P195" s="3151">
        <v>11137</v>
      </c>
      <c r="Q195" s="3151">
        <v>14127.37</v>
      </c>
      <c r="R195" s="3151">
        <v>1089644</v>
      </c>
      <c r="S195" s="3151">
        <v>11718.223599999999</v>
      </c>
      <c r="T195" s="3151">
        <v>14864.6571</v>
      </c>
      <c r="U195" s="3151">
        <v>1146511</v>
      </c>
      <c r="V195" s="3151">
        <v>10580.15</v>
      </c>
      <c r="W195" s="3151">
        <v>13421</v>
      </c>
      <c r="X195" s="3151">
        <v>1035162</v>
      </c>
      <c r="Y195" s="3152">
        <v>1035162</v>
      </c>
      <c r="Z195" s="3152">
        <v>0</v>
      </c>
      <c r="AA195" s="3153"/>
      <c r="AB195" s="3151">
        <v>1035162</v>
      </c>
      <c r="AC195" s="3154">
        <v>43819</v>
      </c>
      <c r="AD195" s="3154">
        <v>43847.46574915509</v>
      </c>
      <c r="AE195" s="3154">
        <v>43847.564216666666</v>
      </c>
      <c r="AF195" s="3154">
        <v>43877</v>
      </c>
      <c r="AG195" s="3154">
        <v>43910</v>
      </c>
      <c r="AH195" s="3149"/>
      <c r="AI195" s="3149"/>
      <c r="AJ195" s="3154">
        <v>44834</v>
      </c>
      <c r="AK195" s="3149"/>
      <c r="AL195" s="3154">
        <v>43814</v>
      </c>
      <c r="AM195" s="3149" t="s">
        <v>3416</v>
      </c>
      <c r="AN195" s="3149" t="s">
        <v>3688</v>
      </c>
      <c r="AO195" s="3149" t="s">
        <v>3606</v>
      </c>
      <c r="AP195" s="3149" t="s">
        <v>3499</v>
      </c>
      <c r="AQ195" s="3149" t="s">
        <v>3499</v>
      </c>
      <c r="AR195" s="3149"/>
      <c r="AS195" s="3149"/>
      <c r="AT195" s="3149"/>
    </row>
    <row r="196" spans="1:46" ht="33.75">
      <c r="A196" s="3149">
        <v>188</v>
      </c>
      <c r="B196" s="3149" t="s">
        <v>3488</v>
      </c>
      <c r="C196" s="3149" t="s">
        <v>3489</v>
      </c>
      <c r="D196" s="3149" t="s">
        <v>3490</v>
      </c>
      <c r="E196" s="3149" t="s">
        <v>3631</v>
      </c>
      <c r="F196" s="3149" t="s">
        <v>3546</v>
      </c>
      <c r="G196" s="3149" t="s">
        <v>3514</v>
      </c>
      <c r="H196" s="3149" t="s">
        <v>3494</v>
      </c>
      <c r="I196" s="3149" t="s">
        <v>3633</v>
      </c>
      <c r="J196" s="3149" t="s">
        <v>3389</v>
      </c>
      <c r="K196" s="3149" t="s">
        <v>3496</v>
      </c>
      <c r="L196" s="3150">
        <v>97.84</v>
      </c>
      <c r="M196" s="3150">
        <v>77.13</v>
      </c>
      <c r="N196" s="3161">
        <v>97.84</v>
      </c>
      <c r="O196" s="3150">
        <v>77.13</v>
      </c>
      <c r="P196" s="3151">
        <v>11337</v>
      </c>
      <c r="Q196" s="3151">
        <v>14381.07</v>
      </c>
      <c r="R196" s="3151">
        <v>1109212</v>
      </c>
      <c r="S196" s="3151">
        <v>11928.6693</v>
      </c>
      <c r="T196" s="3151">
        <v>15131.609</v>
      </c>
      <c r="U196" s="3151">
        <v>1167101</v>
      </c>
      <c r="V196" s="3151">
        <v>10770.16</v>
      </c>
      <c r="W196" s="3151">
        <v>13662.03</v>
      </c>
      <c r="X196" s="3151">
        <v>1053752</v>
      </c>
      <c r="Y196" s="3152">
        <v>1053752</v>
      </c>
      <c r="Z196" s="3152">
        <v>0</v>
      </c>
      <c r="AA196" s="3153"/>
      <c r="AB196" s="3151">
        <v>1053752.3999999999</v>
      </c>
      <c r="AC196" s="3154">
        <v>43819</v>
      </c>
      <c r="AD196" s="3154">
        <v>43847.46574915509</v>
      </c>
      <c r="AE196" s="3154">
        <v>43847.564216666666</v>
      </c>
      <c r="AF196" s="3154">
        <v>43911</v>
      </c>
      <c r="AG196" s="3154">
        <v>43911</v>
      </c>
      <c r="AH196" s="3149"/>
      <c r="AI196" s="3149"/>
      <c r="AJ196" s="3154">
        <v>44834</v>
      </c>
      <c r="AK196" s="3149"/>
      <c r="AL196" s="3154">
        <v>43814</v>
      </c>
      <c r="AM196" s="3149" t="s">
        <v>3416</v>
      </c>
      <c r="AN196" s="3149" t="s">
        <v>3689</v>
      </c>
      <c r="AO196" s="3149" t="s">
        <v>3504</v>
      </c>
      <c r="AP196" s="3149" t="s">
        <v>3499</v>
      </c>
      <c r="AQ196" s="3149" t="s">
        <v>3499</v>
      </c>
      <c r="AR196" s="3149"/>
      <c r="AS196" s="3149"/>
      <c r="AT196" s="3149"/>
    </row>
    <row r="197" spans="1:46" ht="33.75">
      <c r="A197" s="3149">
        <v>189</v>
      </c>
      <c r="B197" s="3149" t="s">
        <v>3488</v>
      </c>
      <c r="C197" s="3149" t="s">
        <v>3489</v>
      </c>
      <c r="D197" s="3149" t="s">
        <v>3490</v>
      </c>
      <c r="E197" s="3149" t="s">
        <v>3631</v>
      </c>
      <c r="F197" s="3149" t="s">
        <v>3546</v>
      </c>
      <c r="G197" s="3149" t="s">
        <v>3515</v>
      </c>
      <c r="H197" s="3149" t="s">
        <v>3494</v>
      </c>
      <c r="I197" s="3149" t="s">
        <v>3633</v>
      </c>
      <c r="J197" s="3149" t="s">
        <v>3389</v>
      </c>
      <c r="K197" s="3149" t="s">
        <v>3496</v>
      </c>
      <c r="L197" s="3150">
        <v>97.84</v>
      </c>
      <c r="M197" s="3150">
        <v>77.13</v>
      </c>
      <c r="N197" s="3161">
        <v>97.84</v>
      </c>
      <c r="O197" s="3150">
        <v>77.13</v>
      </c>
      <c r="P197" s="3151">
        <v>9595</v>
      </c>
      <c r="Q197" s="3151">
        <v>12171.33</v>
      </c>
      <c r="R197" s="3151">
        <v>938775</v>
      </c>
      <c r="S197" s="3151">
        <v>11186.437</v>
      </c>
      <c r="T197" s="3151">
        <v>14190.081700000001</v>
      </c>
      <c r="U197" s="3151">
        <v>1094481</v>
      </c>
      <c r="V197" s="3151">
        <v>9595.01</v>
      </c>
      <c r="W197" s="3151">
        <v>12171.35</v>
      </c>
      <c r="X197" s="3151">
        <v>938776</v>
      </c>
      <c r="Y197" s="3152">
        <v>938776</v>
      </c>
      <c r="Z197" s="3152">
        <v>0</v>
      </c>
      <c r="AA197" s="3153"/>
      <c r="AB197" s="3151">
        <v>938776</v>
      </c>
      <c r="AC197" s="3154">
        <v>43819</v>
      </c>
      <c r="AD197" s="3154">
        <v>44372.487411145834</v>
      </c>
      <c r="AE197" s="3154">
        <v>43847.564216666666</v>
      </c>
      <c r="AF197" s="3154">
        <v>44398</v>
      </c>
      <c r="AG197" s="3154">
        <v>44435</v>
      </c>
      <c r="AH197" s="3149"/>
      <c r="AI197" s="3149"/>
      <c r="AJ197" s="3154">
        <v>45199</v>
      </c>
      <c r="AK197" s="3149"/>
      <c r="AL197" s="3154">
        <v>43814</v>
      </c>
      <c r="AM197" s="3149" t="s">
        <v>3516</v>
      </c>
      <c r="AN197" s="3149" t="s">
        <v>3690</v>
      </c>
      <c r="AO197" s="3149" t="s">
        <v>3685</v>
      </c>
      <c r="AP197" s="3149" t="s">
        <v>3499</v>
      </c>
      <c r="AQ197" s="3149" t="s">
        <v>3499</v>
      </c>
      <c r="AR197" s="3149" t="s">
        <v>3519</v>
      </c>
      <c r="AS197" s="3149" t="s">
        <v>3520</v>
      </c>
      <c r="AT197" s="3149"/>
    </row>
    <row r="198" spans="1:46" ht="33.75">
      <c r="A198" s="3149">
        <v>190</v>
      </c>
      <c r="B198" s="3149" t="s">
        <v>3488</v>
      </c>
      <c r="C198" s="3149" t="s">
        <v>3489</v>
      </c>
      <c r="D198" s="3149" t="s">
        <v>3490</v>
      </c>
      <c r="E198" s="3149" t="s">
        <v>3631</v>
      </c>
      <c r="F198" s="3149" t="s">
        <v>3546</v>
      </c>
      <c r="G198" s="3149" t="s">
        <v>3521</v>
      </c>
      <c r="H198" s="3149" t="s">
        <v>3494</v>
      </c>
      <c r="I198" s="3149" t="s">
        <v>3633</v>
      </c>
      <c r="J198" s="3149" t="s">
        <v>3389</v>
      </c>
      <c r="K198" s="3149" t="s">
        <v>3496</v>
      </c>
      <c r="L198" s="3150">
        <v>97.84</v>
      </c>
      <c r="M198" s="3150">
        <v>77.13</v>
      </c>
      <c r="N198" s="3161">
        <v>97.84</v>
      </c>
      <c r="O198" s="3150">
        <v>77.13</v>
      </c>
      <c r="P198" s="3151">
        <v>10865.15</v>
      </c>
      <c r="Q198" s="3151">
        <v>13782.52</v>
      </c>
      <c r="R198" s="3151">
        <v>1063046</v>
      </c>
      <c r="S198" s="3151">
        <v>12033.881799999999</v>
      </c>
      <c r="T198" s="3151">
        <v>15265.072</v>
      </c>
      <c r="U198" s="3151">
        <v>1177395</v>
      </c>
      <c r="V198" s="3151">
        <v>10865.15</v>
      </c>
      <c r="W198" s="3151">
        <v>13782.52</v>
      </c>
      <c r="X198" s="3151">
        <v>1063046</v>
      </c>
      <c r="Y198" s="3152">
        <v>1063046</v>
      </c>
      <c r="Z198" s="3152">
        <v>0</v>
      </c>
      <c r="AA198" s="3153"/>
      <c r="AB198" s="3151">
        <v>1063046</v>
      </c>
      <c r="AC198" s="3154">
        <v>43819</v>
      </c>
      <c r="AD198" s="3154">
        <v>43915.685597453703</v>
      </c>
      <c r="AE198" s="3154">
        <v>43847.564216666666</v>
      </c>
      <c r="AF198" s="3154">
        <v>43916</v>
      </c>
      <c r="AG198" s="3154">
        <v>43920</v>
      </c>
      <c r="AH198" s="3154">
        <v>43984</v>
      </c>
      <c r="AI198" s="3154">
        <v>43992</v>
      </c>
      <c r="AJ198" s="3154">
        <v>44834</v>
      </c>
      <c r="AK198" s="3149"/>
      <c r="AL198" s="3154">
        <v>43814</v>
      </c>
      <c r="AM198" s="3149" t="s">
        <v>3416</v>
      </c>
      <c r="AN198" s="3149" t="s">
        <v>3691</v>
      </c>
      <c r="AO198" s="3149" t="s">
        <v>3692</v>
      </c>
      <c r="AP198" s="3149" t="s">
        <v>3499</v>
      </c>
      <c r="AQ198" s="3149" t="s">
        <v>3499</v>
      </c>
      <c r="AR198" s="3149"/>
      <c r="AS198" s="3149"/>
      <c r="AT198" s="3149"/>
    </row>
    <row r="199" spans="1:46" ht="33.75">
      <c r="A199" s="3149">
        <v>191</v>
      </c>
      <c r="B199" s="3149" t="s">
        <v>3488</v>
      </c>
      <c r="C199" s="3149" t="s">
        <v>3489</v>
      </c>
      <c r="D199" s="3149" t="s">
        <v>3490</v>
      </c>
      <c r="E199" s="3149" t="s">
        <v>3631</v>
      </c>
      <c r="F199" s="3149" t="s">
        <v>3546</v>
      </c>
      <c r="G199" s="3149" t="s">
        <v>3522</v>
      </c>
      <c r="H199" s="3149" t="s">
        <v>3494</v>
      </c>
      <c r="I199" s="3149" t="s">
        <v>3633</v>
      </c>
      <c r="J199" s="3149" t="s">
        <v>3389</v>
      </c>
      <c r="K199" s="3149" t="s">
        <v>3496</v>
      </c>
      <c r="L199" s="3150">
        <v>97.84</v>
      </c>
      <c r="M199" s="3150">
        <v>77.13</v>
      </c>
      <c r="N199" s="3161">
        <v>97.84</v>
      </c>
      <c r="O199" s="3150">
        <v>77.13</v>
      </c>
      <c r="P199" s="3151">
        <v>11337</v>
      </c>
      <c r="Q199" s="3151">
        <v>14381.07</v>
      </c>
      <c r="R199" s="3151">
        <v>1109212</v>
      </c>
      <c r="S199" s="3151">
        <v>11928.6693</v>
      </c>
      <c r="T199" s="3151">
        <v>15131.609</v>
      </c>
      <c r="U199" s="3151">
        <v>1167101</v>
      </c>
      <c r="V199" s="3151">
        <v>11337.01</v>
      </c>
      <c r="W199" s="3151">
        <v>14381.08</v>
      </c>
      <c r="X199" s="3151">
        <v>1109213</v>
      </c>
      <c r="Y199" s="3152">
        <v>1109213</v>
      </c>
      <c r="Z199" s="3152">
        <v>0</v>
      </c>
      <c r="AA199" s="3153"/>
      <c r="AB199" s="3151">
        <v>1109213</v>
      </c>
      <c r="AC199" s="3154">
        <v>43819</v>
      </c>
      <c r="AD199" s="3154">
        <v>43847.46574915509</v>
      </c>
      <c r="AE199" s="3154">
        <v>43847.564216666666</v>
      </c>
      <c r="AF199" s="3154">
        <v>43915</v>
      </c>
      <c r="AG199" s="3154">
        <v>43916</v>
      </c>
      <c r="AH199" s="3154">
        <v>44936</v>
      </c>
      <c r="AI199" s="3154">
        <v>44965</v>
      </c>
      <c r="AJ199" s="3154">
        <v>44834</v>
      </c>
      <c r="AK199" s="3149"/>
      <c r="AL199" s="3154">
        <v>43814</v>
      </c>
      <c r="AM199" s="3149" t="s">
        <v>3416</v>
      </c>
      <c r="AN199" s="3149" t="s">
        <v>3693</v>
      </c>
      <c r="AO199" s="3149" t="s">
        <v>3498</v>
      </c>
      <c r="AP199" s="3149" t="s">
        <v>3499</v>
      </c>
      <c r="AQ199" s="3149" t="s">
        <v>3499</v>
      </c>
      <c r="AR199" s="3149"/>
      <c r="AS199" s="3149"/>
      <c r="AT199" s="3149"/>
    </row>
    <row r="200" spans="1:46" ht="33.75">
      <c r="A200" s="3149">
        <v>192</v>
      </c>
      <c r="B200" s="3149" t="s">
        <v>3488</v>
      </c>
      <c r="C200" s="3149" t="s">
        <v>3489</v>
      </c>
      <c r="D200" s="3149" t="s">
        <v>3490</v>
      </c>
      <c r="E200" s="3149" t="s">
        <v>3631</v>
      </c>
      <c r="F200" s="3149" t="s">
        <v>3546</v>
      </c>
      <c r="G200" s="3149" t="s">
        <v>3523</v>
      </c>
      <c r="H200" s="3149" t="s">
        <v>3494</v>
      </c>
      <c r="I200" s="3149" t="s">
        <v>3633</v>
      </c>
      <c r="J200" s="3149" t="s">
        <v>3389</v>
      </c>
      <c r="K200" s="3149" t="s">
        <v>3496</v>
      </c>
      <c r="L200" s="3150">
        <v>97.84</v>
      </c>
      <c r="M200" s="3150">
        <v>77.13</v>
      </c>
      <c r="N200" s="3161">
        <v>97.84</v>
      </c>
      <c r="O200" s="3150">
        <v>77.13</v>
      </c>
      <c r="P200" s="3151">
        <v>9999</v>
      </c>
      <c r="Q200" s="3151">
        <v>12683.81</v>
      </c>
      <c r="R200" s="3151">
        <v>978302</v>
      </c>
      <c r="S200" s="3151">
        <v>12139.1047</v>
      </c>
      <c r="T200" s="3151">
        <v>15398.5479</v>
      </c>
      <c r="U200" s="3151">
        <v>1187690</v>
      </c>
      <c r="V200" s="3151">
        <v>9999</v>
      </c>
      <c r="W200" s="3151">
        <v>12683.81</v>
      </c>
      <c r="X200" s="3151">
        <v>978302</v>
      </c>
      <c r="Y200" s="3152">
        <v>978302</v>
      </c>
      <c r="Z200" s="3152">
        <v>0</v>
      </c>
      <c r="AA200" s="3153"/>
      <c r="AB200" s="3151">
        <v>978302</v>
      </c>
      <c r="AC200" s="3154">
        <v>43819</v>
      </c>
      <c r="AD200" s="3154">
        <v>44081.738156053238</v>
      </c>
      <c r="AE200" s="3154">
        <v>43847.564216666666</v>
      </c>
      <c r="AF200" s="3154">
        <v>44082</v>
      </c>
      <c r="AG200" s="3154">
        <v>44087</v>
      </c>
      <c r="AH200" s="3154">
        <v>44097</v>
      </c>
      <c r="AI200" s="3154">
        <v>44127</v>
      </c>
      <c r="AJ200" s="3154">
        <v>44834</v>
      </c>
      <c r="AK200" s="3149"/>
      <c r="AL200" s="3154">
        <v>43814</v>
      </c>
      <c r="AM200" s="3149" t="s">
        <v>3416</v>
      </c>
      <c r="AN200" s="3149" t="s">
        <v>3694</v>
      </c>
      <c r="AO200" s="3149" t="s">
        <v>3556</v>
      </c>
      <c r="AP200" s="3149" t="s">
        <v>3499</v>
      </c>
      <c r="AQ200" s="3149" t="s">
        <v>3499</v>
      </c>
      <c r="AR200" s="3149" t="s">
        <v>3566</v>
      </c>
      <c r="AS200" s="3149" t="s">
        <v>3519</v>
      </c>
      <c r="AT200" s="3149"/>
    </row>
    <row r="201" spans="1:46" ht="33.75">
      <c r="A201" s="3149">
        <v>193</v>
      </c>
      <c r="B201" s="3149" t="s">
        <v>3488</v>
      </c>
      <c r="C201" s="3149" t="s">
        <v>3489</v>
      </c>
      <c r="D201" s="3149" t="s">
        <v>3490</v>
      </c>
      <c r="E201" s="3149" t="s">
        <v>3631</v>
      </c>
      <c r="F201" s="3149" t="s">
        <v>3546</v>
      </c>
      <c r="G201" s="3149" t="s">
        <v>3525</v>
      </c>
      <c r="H201" s="3149" t="s">
        <v>3494</v>
      </c>
      <c r="I201" s="3149" t="s">
        <v>3633</v>
      </c>
      <c r="J201" s="3149" t="s">
        <v>3389</v>
      </c>
      <c r="K201" s="3149" t="s">
        <v>3496</v>
      </c>
      <c r="L201" s="3150">
        <v>97.84</v>
      </c>
      <c r="M201" s="3150">
        <v>77.13</v>
      </c>
      <c r="N201" s="3161">
        <v>97.84</v>
      </c>
      <c r="O201" s="3150">
        <v>77.13</v>
      </c>
      <c r="P201" s="3151">
        <v>9785</v>
      </c>
      <c r="Q201" s="3151">
        <v>12412.34</v>
      </c>
      <c r="R201" s="3151">
        <v>957364</v>
      </c>
      <c r="S201" s="3151">
        <v>11407.941500000001</v>
      </c>
      <c r="T201" s="3151">
        <v>14471.061799999999</v>
      </c>
      <c r="U201" s="3151">
        <v>1116153</v>
      </c>
      <c r="V201" s="3151">
        <v>9785.01</v>
      </c>
      <c r="W201" s="3151">
        <v>12412.36</v>
      </c>
      <c r="X201" s="3151">
        <v>957365</v>
      </c>
      <c r="Y201" s="3152">
        <v>957365</v>
      </c>
      <c r="Z201" s="3152">
        <v>0</v>
      </c>
      <c r="AA201" s="3153"/>
      <c r="AB201" s="3151">
        <v>957365</v>
      </c>
      <c r="AC201" s="3154">
        <v>43819</v>
      </c>
      <c r="AD201" s="3154">
        <v>44372.487411145834</v>
      </c>
      <c r="AE201" s="3154">
        <v>43847.564216666666</v>
      </c>
      <c r="AF201" s="3154">
        <v>44497</v>
      </c>
      <c r="AG201" s="3154">
        <v>44497</v>
      </c>
      <c r="AH201" s="3149"/>
      <c r="AI201" s="3149"/>
      <c r="AJ201" s="3154">
        <v>45199</v>
      </c>
      <c r="AK201" s="3149"/>
      <c r="AL201" s="3154">
        <v>43814</v>
      </c>
      <c r="AM201" s="3149" t="s">
        <v>3516</v>
      </c>
      <c r="AN201" s="3149" t="s">
        <v>3657</v>
      </c>
      <c r="AO201" s="3149" t="s">
        <v>3540</v>
      </c>
      <c r="AP201" s="3149" t="s">
        <v>3499</v>
      </c>
      <c r="AQ201" s="3149" t="s">
        <v>3499</v>
      </c>
      <c r="AR201" s="3149" t="s">
        <v>3519</v>
      </c>
      <c r="AS201" s="3149" t="s">
        <v>3520</v>
      </c>
      <c r="AT201" s="3149"/>
    </row>
    <row r="202" spans="1:46" ht="33.75">
      <c r="A202" s="3149">
        <v>194</v>
      </c>
      <c r="B202" s="3149" t="s">
        <v>3488</v>
      </c>
      <c r="C202" s="3149" t="s">
        <v>3489</v>
      </c>
      <c r="D202" s="3149" t="s">
        <v>3490</v>
      </c>
      <c r="E202" s="3149" t="s">
        <v>3631</v>
      </c>
      <c r="F202" s="3149" t="s">
        <v>3546</v>
      </c>
      <c r="G202" s="3149" t="s">
        <v>3528</v>
      </c>
      <c r="H202" s="3149" t="s">
        <v>3494</v>
      </c>
      <c r="I202" s="3149" t="s">
        <v>3633</v>
      </c>
      <c r="J202" s="3149" t="s">
        <v>3389</v>
      </c>
      <c r="K202" s="3149" t="s">
        <v>3496</v>
      </c>
      <c r="L202" s="3150">
        <v>97.84</v>
      </c>
      <c r="M202" s="3150">
        <v>77.13</v>
      </c>
      <c r="N202" s="3161">
        <v>97.84</v>
      </c>
      <c r="O202" s="3150">
        <v>77.13</v>
      </c>
      <c r="P202" s="3151">
        <v>9785</v>
      </c>
      <c r="Q202" s="3151">
        <v>12412.34</v>
      </c>
      <c r="R202" s="3151">
        <v>957364</v>
      </c>
      <c r="S202" s="3151">
        <v>11407.941500000001</v>
      </c>
      <c r="T202" s="3151">
        <v>14471.061799999999</v>
      </c>
      <c r="U202" s="3151">
        <v>1116153</v>
      </c>
      <c r="V202" s="3151">
        <v>10094</v>
      </c>
      <c r="W202" s="3151">
        <v>12804.32</v>
      </c>
      <c r="X202" s="3151">
        <v>987597</v>
      </c>
      <c r="Y202" s="3152">
        <v>987597</v>
      </c>
      <c r="Z202" s="3152">
        <v>0</v>
      </c>
      <c r="AA202" s="3153"/>
      <c r="AB202" s="3151">
        <v>987597</v>
      </c>
      <c r="AC202" s="3154">
        <v>43819</v>
      </c>
      <c r="AD202" s="3154">
        <v>44372.487411145834</v>
      </c>
      <c r="AE202" s="3154">
        <v>43847.564216666666</v>
      </c>
      <c r="AF202" s="3154">
        <v>44546</v>
      </c>
      <c r="AG202" s="3154">
        <v>44547</v>
      </c>
      <c r="AH202" s="3149"/>
      <c r="AI202" s="3149"/>
      <c r="AJ202" s="3154">
        <v>45199</v>
      </c>
      <c r="AK202" s="3149"/>
      <c r="AL202" s="3154">
        <v>43814</v>
      </c>
      <c r="AM202" s="3149" t="s">
        <v>3516</v>
      </c>
      <c r="AN202" s="3149" t="s">
        <v>3637</v>
      </c>
      <c r="AO202" s="3149" t="s">
        <v>3518</v>
      </c>
      <c r="AP202" s="3149" t="s">
        <v>3499</v>
      </c>
      <c r="AQ202" s="3149" t="s">
        <v>3499</v>
      </c>
      <c r="AR202" s="3149" t="s">
        <v>3519</v>
      </c>
      <c r="AS202" s="3149" t="s">
        <v>3520</v>
      </c>
      <c r="AT202" s="3149"/>
    </row>
    <row r="203" spans="1:46" ht="33.75">
      <c r="A203" s="3149">
        <v>195</v>
      </c>
      <c r="B203" s="3149" t="s">
        <v>3488</v>
      </c>
      <c r="C203" s="3149" t="s">
        <v>3489</v>
      </c>
      <c r="D203" s="3149" t="s">
        <v>3490</v>
      </c>
      <c r="E203" s="3149" t="s">
        <v>3631</v>
      </c>
      <c r="F203" s="3149" t="s">
        <v>3546</v>
      </c>
      <c r="G203" s="3149" t="s">
        <v>3529</v>
      </c>
      <c r="H203" s="3149" t="s">
        <v>3494</v>
      </c>
      <c r="I203" s="3149" t="s">
        <v>3633</v>
      </c>
      <c r="J203" s="3149" t="s">
        <v>3389</v>
      </c>
      <c r="K203" s="3149" t="s">
        <v>3496</v>
      </c>
      <c r="L203" s="3150">
        <v>97.84</v>
      </c>
      <c r="M203" s="3150">
        <v>77.13</v>
      </c>
      <c r="N203" s="3161">
        <v>97.84</v>
      </c>
      <c r="O203" s="3150">
        <v>77.13</v>
      </c>
      <c r="P203" s="3151">
        <v>9500</v>
      </c>
      <c r="Q203" s="3151">
        <v>12050.82</v>
      </c>
      <c r="R203" s="3151">
        <v>929480</v>
      </c>
      <c r="S203" s="3151">
        <v>12139.1047</v>
      </c>
      <c r="T203" s="3151">
        <v>15398.5479</v>
      </c>
      <c r="U203" s="3151">
        <v>1187690</v>
      </c>
      <c r="V203" s="3151">
        <v>9999</v>
      </c>
      <c r="W203" s="3151">
        <v>12683.81</v>
      </c>
      <c r="X203" s="3151">
        <v>978302</v>
      </c>
      <c r="Y203" s="3152">
        <v>978302</v>
      </c>
      <c r="Z203" s="3152">
        <v>0</v>
      </c>
      <c r="AA203" s="3153"/>
      <c r="AB203" s="3151">
        <v>978302</v>
      </c>
      <c r="AC203" s="3154">
        <v>43819</v>
      </c>
      <c r="AD203" s="3154">
        <v>44102.575221215273</v>
      </c>
      <c r="AE203" s="3154">
        <v>43847.564216666666</v>
      </c>
      <c r="AF203" s="3154">
        <v>44112</v>
      </c>
      <c r="AG203" s="3154">
        <v>44112</v>
      </c>
      <c r="AH203" s="3154">
        <v>44128</v>
      </c>
      <c r="AI203" s="3154">
        <v>44141</v>
      </c>
      <c r="AJ203" s="3154">
        <v>44834</v>
      </c>
      <c r="AK203" s="3149"/>
      <c r="AL203" s="3154">
        <v>43814</v>
      </c>
      <c r="AM203" s="3149" t="s">
        <v>3416</v>
      </c>
      <c r="AN203" s="3149" t="s">
        <v>3695</v>
      </c>
      <c r="AO203" s="3149" t="s">
        <v>3581</v>
      </c>
      <c r="AP203" s="3149" t="s">
        <v>3499</v>
      </c>
      <c r="AQ203" s="3149" t="s">
        <v>3499</v>
      </c>
      <c r="AR203" s="3149" t="s">
        <v>3505</v>
      </c>
      <c r="AS203" s="3149" t="s">
        <v>3561</v>
      </c>
      <c r="AT203" s="3149" t="s">
        <v>3671</v>
      </c>
    </row>
    <row r="204" spans="1:46" ht="33.75">
      <c r="A204" s="3149">
        <v>196</v>
      </c>
      <c r="B204" s="3149" t="s">
        <v>3488</v>
      </c>
      <c r="C204" s="3149" t="s">
        <v>3489</v>
      </c>
      <c r="D204" s="3149" t="s">
        <v>3490</v>
      </c>
      <c r="E204" s="3149" t="s">
        <v>3631</v>
      </c>
      <c r="F204" s="3149" t="s">
        <v>3546</v>
      </c>
      <c r="G204" s="3149" t="s">
        <v>3530</v>
      </c>
      <c r="H204" s="3149" t="s">
        <v>3494</v>
      </c>
      <c r="I204" s="3149" t="s">
        <v>3633</v>
      </c>
      <c r="J204" s="3149" t="s">
        <v>3389</v>
      </c>
      <c r="K204" s="3149" t="s">
        <v>3496</v>
      </c>
      <c r="L204" s="3150">
        <v>97.84</v>
      </c>
      <c r="M204" s="3150">
        <v>77.13</v>
      </c>
      <c r="N204" s="3161">
        <v>97.84</v>
      </c>
      <c r="O204" s="3150">
        <v>77.13</v>
      </c>
      <c r="P204" s="3151">
        <v>11737</v>
      </c>
      <c r="Q204" s="3151">
        <v>14888.47</v>
      </c>
      <c r="R204" s="3151">
        <v>1148348</v>
      </c>
      <c r="S204" s="3151">
        <v>12349.5401</v>
      </c>
      <c r="T204" s="3151">
        <v>15665.486800000001</v>
      </c>
      <c r="U204" s="3151">
        <v>1208279</v>
      </c>
      <c r="V204" s="3151">
        <v>11150.15</v>
      </c>
      <c r="W204" s="3151">
        <v>14144.06</v>
      </c>
      <c r="X204" s="3151">
        <v>1090931</v>
      </c>
      <c r="Y204" s="3152">
        <v>1090931</v>
      </c>
      <c r="Z204" s="3152">
        <v>0</v>
      </c>
      <c r="AA204" s="3153"/>
      <c r="AB204" s="3151">
        <v>1090931</v>
      </c>
      <c r="AC204" s="3154">
        <v>43819</v>
      </c>
      <c r="AD204" s="3154">
        <v>43847.46574915509</v>
      </c>
      <c r="AE204" s="3154">
        <v>43847.564216666666</v>
      </c>
      <c r="AF204" s="3154">
        <v>43851</v>
      </c>
      <c r="AG204" s="3154">
        <v>43901</v>
      </c>
      <c r="AH204" s="3154">
        <v>43937</v>
      </c>
      <c r="AI204" s="3154">
        <v>43944</v>
      </c>
      <c r="AJ204" s="3154">
        <v>44834</v>
      </c>
      <c r="AK204" s="3149"/>
      <c r="AL204" s="3154">
        <v>43814</v>
      </c>
      <c r="AM204" s="3149" t="s">
        <v>3416</v>
      </c>
      <c r="AN204" s="3149" t="s">
        <v>3696</v>
      </c>
      <c r="AO204" s="3149" t="s">
        <v>3603</v>
      </c>
      <c r="AP204" s="3149" t="s">
        <v>3577</v>
      </c>
      <c r="AQ204" s="3149"/>
      <c r="AR204" s="3149" t="s">
        <v>3519</v>
      </c>
      <c r="AS204" s="3149" t="s">
        <v>3596</v>
      </c>
      <c r="AT204" s="3149"/>
    </row>
    <row r="205" spans="1:46" ht="33.75">
      <c r="A205" s="3149">
        <v>197</v>
      </c>
      <c r="B205" s="3149" t="s">
        <v>3488</v>
      </c>
      <c r="C205" s="3149" t="s">
        <v>3489</v>
      </c>
      <c r="D205" s="3149" t="s">
        <v>3490</v>
      </c>
      <c r="E205" s="3149" t="s">
        <v>3631</v>
      </c>
      <c r="F205" s="3149" t="s">
        <v>3546</v>
      </c>
      <c r="G205" s="3149" t="s">
        <v>3532</v>
      </c>
      <c r="H205" s="3149" t="s">
        <v>3494</v>
      </c>
      <c r="I205" s="3149" t="s">
        <v>3633</v>
      </c>
      <c r="J205" s="3149" t="s">
        <v>3389</v>
      </c>
      <c r="K205" s="3149" t="s">
        <v>3496</v>
      </c>
      <c r="L205" s="3150">
        <v>97.84</v>
      </c>
      <c r="M205" s="3150">
        <v>77.13</v>
      </c>
      <c r="N205" s="3161">
        <v>97.84</v>
      </c>
      <c r="O205" s="3150">
        <v>77.13</v>
      </c>
      <c r="P205" s="3151">
        <v>9999</v>
      </c>
      <c r="Q205" s="3151">
        <v>12683.81</v>
      </c>
      <c r="R205" s="3151">
        <v>978302</v>
      </c>
      <c r="S205" s="3151">
        <v>11518.704</v>
      </c>
      <c r="T205" s="3151">
        <v>14611.564899999999</v>
      </c>
      <c r="U205" s="3151">
        <v>1126990</v>
      </c>
      <c r="V205" s="3151">
        <v>9999</v>
      </c>
      <c r="W205" s="3151">
        <v>12683.81</v>
      </c>
      <c r="X205" s="3151">
        <v>978302</v>
      </c>
      <c r="Y205" s="3152">
        <v>978302</v>
      </c>
      <c r="Z205" s="3152">
        <v>0</v>
      </c>
      <c r="AA205" s="3153"/>
      <c r="AB205" s="3151">
        <v>978302</v>
      </c>
      <c r="AC205" s="3154">
        <v>43819</v>
      </c>
      <c r="AD205" s="3154">
        <v>44281.44086790509</v>
      </c>
      <c r="AE205" s="3154">
        <v>43847.564216666666</v>
      </c>
      <c r="AF205" s="3149"/>
      <c r="AG205" s="3154">
        <v>44281.450162037036</v>
      </c>
      <c r="AH205" s="3154">
        <v>44309</v>
      </c>
      <c r="AI205" s="3154">
        <v>44322</v>
      </c>
      <c r="AJ205" s="3154">
        <v>44834</v>
      </c>
      <c r="AK205" s="3149"/>
      <c r="AL205" s="3154">
        <v>43814</v>
      </c>
      <c r="AM205" s="3149" t="s">
        <v>3416</v>
      </c>
      <c r="AN205" s="3149" t="s">
        <v>3697</v>
      </c>
      <c r="AO205" s="3149" t="s">
        <v>3556</v>
      </c>
      <c r="AP205" s="3149" t="s">
        <v>3499</v>
      </c>
      <c r="AQ205" s="3149" t="s">
        <v>3499</v>
      </c>
      <c r="AR205" s="3149" t="s">
        <v>3566</v>
      </c>
      <c r="AS205" s="3149" t="s">
        <v>3519</v>
      </c>
      <c r="AT205" s="3149"/>
    </row>
    <row r="206" spans="1:46" ht="33.75">
      <c r="A206" s="3149">
        <v>198</v>
      </c>
      <c r="B206" s="3149" t="s">
        <v>3488</v>
      </c>
      <c r="C206" s="3149" t="s">
        <v>3489</v>
      </c>
      <c r="D206" s="3149" t="s">
        <v>3490</v>
      </c>
      <c r="E206" s="3149" t="s">
        <v>3631</v>
      </c>
      <c r="F206" s="3149" t="s">
        <v>3546</v>
      </c>
      <c r="G206" s="3149" t="s">
        <v>3534</v>
      </c>
      <c r="H206" s="3149" t="s">
        <v>3494</v>
      </c>
      <c r="I206" s="3149" t="s">
        <v>3633</v>
      </c>
      <c r="J206" s="3149" t="s">
        <v>3389</v>
      </c>
      <c r="K206" s="3149" t="s">
        <v>3496</v>
      </c>
      <c r="L206" s="3150">
        <v>97.84</v>
      </c>
      <c r="M206" s="3150">
        <v>77.13</v>
      </c>
      <c r="N206" s="3161">
        <v>97.84</v>
      </c>
      <c r="O206" s="3150">
        <v>77.13</v>
      </c>
      <c r="P206" s="3151">
        <v>11837</v>
      </c>
      <c r="Q206" s="3151">
        <v>15015.32</v>
      </c>
      <c r="R206" s="3151">
        <v>1158132</v>
      </c>
      <c r="S206" s="3151">
        <v>12454.7629</v>
      </c>
      <c r="T206" s="3151">
        <v>15798.962799999999</v>
      </c>
      <c r="U206" s="3151">
        <v>1218574</v>
      </c>
      <c r="V206" s="3151">
        <v>11245.16</v>
      </c>
      <c r="W206" s="3151">
        <v>14264.57</v>
      </c>
      <c r="X206" s="3151">
        <v>1100226</v>
      </c>
      <c r="Y206" s="3152">
        <v>1100226</v>
      </c>
      <c r="Z206" s="3152">
        <v>0</v>
      </c>
      <c r="AA206" s="3153"/>
      <c r="AB206" s="3151">
        <v>1100226</v>
      </c>
      <c r="AC206" s="3154">
        <v>43819</v>
      </c>
      <c r="AD206" s="3154">
        <v>43847.46574915509</v>
      </c>
      <c r="AE206" s="3154">
        <v>43847.564216666666</v>
      </c>
      <c r="AF206" s="3154">
        <v>43910</v>
      </c>
      <c r="AG206" s="3154">
        <v>43910</v>
      </c>
      <c r="AH206" s="3149"/>
      <c r="AI206" s="3149"/>
      <c r="AJ206" s="3154">
        <v>44834</v>
      </c>
      <c r="AK206" s="3149"/>
      <c r="AL206" s="3154">
        <v>43814</v>
      </c>
      <c r="AM206" s="3149" t="s">
        <v>3416</v>
      </c>
      <c r="AN206" s="3149" t="s">
        <v>3698</v>
      </c>
      <c r="AO206" s="3149" t="s">
        <v>3527</v>
      </c>
      <c r="AP206" s="3149" t="s">
        <v>3499</v>
      </c>
      <c r="AQ206" s="3149" t="s">
        <v>3499</v>
      </c>
      <c r="AR206" s="3149"/>
      <c r="AS206" s="3149"/>
      <c r="AT206" s="3149"/>
    </row>
    <row r="207" spans="1:46" ht="33.75">
      <c r="A207" s="3149">
        <v>199</v>
      </c>
      <c r="B207" s="3149" t="s">
        <v>3488</v>
      </c>
      <c r="C207" s="3149" t="s">
        <v>3489</v>
      </c>
      <c r="D207" s="3149" t="s">
        <v>3490</v>
      </c>
      <c r="E207" s="3149" t="s">
        <v>3631</v>
      </c>
      <c r="F207" s="3149" t="s">
        <v>3546</v>
      </c>
      <c r="G207" s="3149" t="s">
        <v>3536</v>
      </c>
      <c r="H207" s="3149" t="s">
        <v>3509</v>
      </c>
      <c r="I207" s="3149" t="s">
        <v>3633</v>
      </c>
      <c r="J207" s="3149" t="s">
        <v>3389</v>
      </c>
      <c r="K207" s="3149" t="s">
        <v>3496</v>
      </c>
      <c r="L207" s="3150">
        <v>134.38999999999999</v>
      </c>
      <c r="M207" s="3150">
        <v>105.94</v>
      </c>
      <c r="N207" s="3161">
        <v>134.38999999999999</v>
      </c>
      <c r="O207" s="3150">
        <v>105.94</v>
      </c>
      <c r="P207" s="3151">
        <v>5350</v>
      </c>
      <c r="Q207" s="3151">
        <v>6786.74</v>
      </c>
      <c r="R207" s="3151">
        <v>718987</v>
      </c>
      <c r="S207" s="3151">
        <v>5350.0037000000002</v>
      </c>
      <c r="T207" s="3151">
        <v>6786.7377999999999</v>
      </c>
      <c r="U207" s="3151">
        <v>718987</v>
      </c>
      <c r="V207" s="3153"/>
      <c r="W207" s="3153"/>
      <c r="X207" s="3153"/>
      <c r="Y207" s="3153"/>
      <c r="Z207" s="3152">
        <v>0</v>
      </c>
      <c r="AA207" s="3153"/>
      <c r="AB207" s="3151">
        <v>0</v>
      </c>
      <c r="AC207" s="3154">
        <v>43819</v>
      </c>
      <c r="AD207" s="3154">
        <v>45264.773614039354</v>
      </c>
      <c r="AE207" s="3154">
        <v>43847.564216666666</v>
      </c>
      <c r="AF207" s="3149"/>
      <c r="AG207" s="3149"/>
      <c r="AH207" s="3149"/>
      <c r="AI207" s="3149"/>
      <c r="AJ207" s="3149"/>
      <c r="AK207" s="3149"/>
      <c r="AL207" s="3154">
        <v>43814</v>
      </c>
      <c r="AM207" s="3149"/>
      <c r="AN207" s="3149"/>
      <c r="AO207" s="3149"/>
      <c r="AP207" s="3149"/>
      <c r="AQ207" s="3149"/>
      <c r="AR207" s="3149"/>
      <c r="AS207" s="3149"/>
      <c r="AT207" s="3149"/>
    </row>
    <row r="208" spans="1:46" ht="33.75">
      <c r="A208" s="3149">
        <v>200</v>
      </c>
      <c r="B208" s="3149" t="s">
        <v>3488</v>
      </c>
      <c r="C208" s="3149" t="s">
        <v>3489</v>
      </c>
      <c r="D208" s="3149" t="s">
        <v>3490</v>
      </c>
      <c r="E208" s="3149" t="s">
        <v>3631</v>
      </c>
      <c r="F208" s="3149" t="s">
        <v>3546</v>
      </c>
      <c r="G208" s="3149" t="s">
        <v>3537</v>
      </c>
      <c r="H208" s="3149" t="s">
        <v>3509</v>
      </c>
      <c r="I208" s="3149" t="s">
        <v>3633</v>
      </c>
      <c r="J208" s="3149" t="s">
        <v>3389</v>
      </c>
      <c r="K208" s="3149" t="s">
        <v>3496</v>
      </c>
      <c r="L208" s="3150">
        <v>134.38999999999999</v>
      </c>
      <c r="M208" s="3150">
        <v>105.94</v>
      </c>
      <c r="N208" s="3161">
        <v>134.38999999999999</v>
      </c>
      <c r="O208" s="3150">
        <v>105.94</v>
      </c>
      <c r="P208" s="3151">
        <v>5400</v>
      </c>
      <c r="Q208" s="3151">
        <v>6850.16</v>
      </c>
      <c r="R208" s="3151">
        <v>725706</v>
      </c>
      <c r="S208" s="3151">
        <v>5400</v>
      </c>
      <c r="T208" s="3151">
        <v>6850.1605</v>
      </c>
      <c r="U208" s="3151">
        <v>725706</v>
      </c>
      <c r="V208" s="3153"/>
      <c r="W208" s="3153"/>
      <c r="X208" s="3153"/>
      <c r="Y208" s="3153"/>
      <c r="Z208" s="3152">
        <v>0</v>
      </c>
      <c r="AA208" s="3153"/>
      <c r="AB208" s="3151">
        <v>0</v>
      </c>
      <c r="AC208" s="3154">
        <v>43819</v>
      </c>
      <c r="AD208" s="3154">
        <v>45264.773614039354</v>
      </c>
      <c r="AE208" s="3154">
        <v>43847.564216666666</v>
      </c>
      <c r="AF208" s="3149"/>
      <c r="AG208" s="3149"/>
      <c r="AH208" s="3149"/>
      <c r="AI208" s="3149"/>
      <c r="AJ208" s="3149"/>
      <c r="AK208" s="3149"/>
      <c r="AL208" s="3154">
        <v>43814</v>
      </c>
      <c r="AM208" s="3149"/>
      <c r="AN208" s="3149"/>
      <c r="AO208" s="3149"/>
      <c r="AP208" s="3149"/>
      <c r="AQ208" s="3149"/>
      <c r="AR208" s="3149"/>
      <c r="AS208" s="3149"/>
      <c r="AT208" s="3149"/>
    </row>
    <row r="209" spans="1:46" ht="33.75">
      <c r="A209" s="3149">
        <v>201</v>
      </c>
      <c r="B209" s="3149" t="s">
        <v>3488</v>
      </c>
      <c r="C209" s="3149" t="s">
        <v>3489</v>
      </c>
      <c r="D209" s="3149" t="s">
        <v>3490</v>
      </c>
      <c r="E209" s="3149" t="s">
        <v>3699</v>
      </c>
      <c r="F209" s="3149" t="s">
        <v>3632</v>
      </c>
      <c r="G209" s="3149" t="s">
        <v>3493</v>
      </c>
      <c r="H209" s="3149" t="s">
        <v>3494</v>
      </c>
      <c r="I209" s="3149" t="s">
        <v>114</v>
      </c>
      <c r="J209" s="3149" t="s">
        <v>3389</v>
      </c>
      <c r="K209" s="3149" t="s">
        <v>3496</v>
      </c>
      <c r="L209" s="3150">
        <v>96.65</v>
      </c>
      <c r="M209" s="3150">
        <v>77.19</v>
      </c>
      <c r="N209" s="3161">
        <v>96.65</v>
      </c>
      <c r="O209" s="3150">
        <v>77.19</v>
      </c>
      <c r="P209" s="3151">
        <v>14206.16</v>
      </c>
      <c r="Q209" s="3151">
        <v>17787.599999999999</v>
      </c>
      <c r="R209" s="3151">
        <v>1373025</v>
      </c>
      <c r="S209" s="3151">
        <v>15997.4961</v>
      </c>
      <c r="T209" s="3151">
        <v>20030.547999999999</v>
      </c>
      <c r="U209" s="3151">
        <v>1546158</v>
      </c>
      <c r="V209" s="3151">
        <v>14500</v>
      </c>
      <c r="W209" s="3151">
        <v>18155.53</v>
      </c>
      <c r="X209" s="3151">
        <v>1401425</v>
      </c>
      <c r="Y209" s="3152">
        <v>1401425</v>
      </c>
      <c r="Z209" s="3152">
        <v>0</v>
      </c>
      <c r="AA209" s="3153"/>
      <c r="AB209" s="3151">
        <v>1401425</v>
      </c>
      <c r="AC209" s="3154">
        <v>43819</v>
      </c>
      <c r="AD209" s="3154">
        <v>43941.696851817127</v>
      </c>
      <c r="AE209" s="3154">
        <v>43847.563430902774</v>
      </c>
      <c r="AF209" s="3154">
        <v>44078</v>
      </c>
      <c r="AG209" s="3154">
        <v>44081</v>
      </c>
      <c r="AH209" s="3154">
        <v>44096</v>
      </c>
      <c r="AI209" s="3154">
        <v>44095</v>
      </c>
      <c r="AJ209" s="3154">
        <v>44834</v>
      </c>
      <c r="AK209" s="3149"/>
      <c r="AL209" s="3154">
        <v>43814</v>
      </c>
      <c r="AM209" s="3149" t="s">
        <v>3416</v>
      </c>
      <c r="AN209" s="3149" t="s">
        <v>3700</v>
      </c>
      <c r="AO209" s="3149" t="s">
        <v>3527</v>
      </c>
      <c r="AP209" s="3149" t="s">
        <v>3499</v>
      </c>
      <c r="AQ209" s="3149" t="s">
        <v>3499</v>
      </c>
      <c r="AR209" s="3149" t="s">
        <v>3566</v>
      </c>
      <c r="AS209" s="3149" t="s">
        <v>3519</v>
      </c>
      <c r="AT209" s="3149"/>
    </row>
    <row r="210" spans="1:46" ht="33.75">
      <c r="A210" s="3149">
        <v>202</v>
      </c>
      <c r="B210" s="3149" t="s">
        <v>3488</v>
      </c>
      <c r="C210" s="3149" t="s">
        <v>3489</v>
      </c>
      <c r="D210" s="3149" t="s">
        <v>3490</v>
      </c>
      <c r="E210" s="3149" t="s">
        <v>3699</v>
      </c>
      <c r="F210" s="3149" t="s">
        <v>3632</v>
      </c>
      <c r="G210" s="3149" t="s">
        <v>3502</v>
      </c>
      <c r="H210" s="3149" t="s">
        <v>3494</v>
      </c>
      <c r="I210" s="3149" t="s">
        <v>114</v>
      </c>
      <c r="J210" s="3149" t="s">
        <v>3389</v>
      </c>
      <c r="K210" s="3149" t="s">
        <v>3496</v>
      </c>
      <c r="L210" s="3150">
        <v>96.65</v>
      </c>
      <c r="M210" s="3150">
        <v>77.19</v>
      </c>
      <c r="N210" s="3161">
        <v>96.65</v>
      </c>
      <c r="O210" s="3150">
        <v>77.19</v>
      </c>
      <c r="P210" s="3151">
        <v>12673.67</v>
      </c>
      <c r="Q210" s="3151">
        <v>15868.77</v>
      </c>
      <c r="R210" s="3151">
        <v>1224910</v>
      </c>
      <c r="S210" s="3151">
        <v>14384.345600000001</v>
      </c>
      <c r="T210" s="3151">
        <v>18010.713800000001</v>
      </c>
      <c r="U210" s="3151">
        <v>1390247</v>
      </c>
      <c r="V210" s="3151">
        <v>13312.33</v>
      </c>
      <c r="W210" s="3151">
        <v>16668.439999999999</v>
      </c>
      <c r="X210" s="3151">
        <v>1286637</v>
      </c>
      <c r="Y210" s="3152">
        <v>1286637</v>
      </c>
      <c r="Z210" s="3152">
        <v>0</v>
      </c>
      <c r="AA210" s="3153"/>
      <c r="AB210" s="3151">
        <v>1286637</v>
      </c>
      <c r="AC210" s="3154">
        <v>43819</v>
      </c>
      <c r="AD210" s="3154">
        <v>43941.696851817127</v>
      </c>
      <c r="AE210" s="3154">
        <v>43847.563430902774</v>
      </c>
      <c r="AF210" s="3154">
        <v>44006</v>
      </c>
      <c r="AG210" s="3154">
        <v>44011</v>
      </c>
      <c r="AH210" s="3154">
        <v>44812</v>
      </c>
      <c r="AI210" s="3154">
        <v>44795</v>
      </c>
      <c r="AJ210" s="3154">
        <v>44834</v>
      </c>
      <c r="AK210" s="3149"/>
      <c r="AL210" s="3154">
        <v>43814</v>
      </c>
      <c r="AM210" s="3149" t="s">
        <v>3416</v>
      </c>
      <c r="AN210" s="3149" t="s">
        <v>3701</v>
      </c>
      <c r="AO210" s="3149" t="s">
        <v>3591</v>
      </c>
      <c r="AP210" s="3149" t="s">
        <v>3499</v>
      </c>
      <c r="AQ210" s="3149" t="s">
        <v>3499</v>
      </c>
      <c r="AR210" s="3149" t="s">
        <v>3505</v>
      </c>
      <c r="AS210" s="3149" t="s">
        <v>3561</v>
      </c>
      <c r="AT210" s="3149" t="s">
        <v>3519</v>
      </c>
    </row>
    <row r="211" spans="1:46" ht="33.75">
      <c r="A211" s="3149">
        <v>203</v>
      </c>
      <c r="B211" s="3149" t="s">
        <v>3488</v>
      </c>
      <c r="C211" s="3149" t="s">
        <v>3489</v>
      </c>
      <c r="D211" s="3149" t="s">
        <v>3490</v>
      </c>
      <c r="E211" s="3149" t="s">
        <v>3699</v>
      </c>
      <c r="F211" s="3149" t="s">
        <v>3632</v>
      </c>
      <c r="G211" s="3149" t="s">
        <v>3508</v>
      </c>
      <c r="H211" s="3149" t="s">
        <v>3494</v>
      </c>
      <c r="I211" s="3149" t="s">
        <v>114</v>
      </c>
      <c r="J211" s="3149" t="s">
        <v>3389</v>
      </c>
      <c r="K211" s="3149" t="s">
        <v>3496</v>
      </c>
      <c r="L211" s="3150">
        <v>96.65</v>
      </c>
      <c r="M211" s="3150">
        <v>77.19</v>
      </c>
      <c r="N211" s="3161">
        <v>96.65</v>
      </c>
      <c r="O211" s="3150">
        <v>77.19</v>
      </c>
      <c r="P211" s="3151">
        <v>8500</v>
      </c>
      <c r="Q211" s="3151">
        <v>10642.89</v>
      </c>
      <c r="R211" s="3151">
        <v>821525</v>
      </c>
      <c r="S211" s="3151">
        <v>9909.8189000000002</v>
      </c>
      <c r="T211" s="3151">
        <v>12408.1358</v>
      </c>
      <c r="U211" s="3151">
        <v>957784</v>
      </c>
      <c r="V211" s="3151">
        <v>8500.01</v>
      </c>
      <c r="W211" s="3151">
        <v>10642.91</v>
      </c>
      <c r="X211" s="3151">
        <v>821526</v>
      </c>
      <c r="Y211" s="3152">
        <v>821526</v>
      </c>
      <c r="Z211" s="3152">
        <v>0</v>
      </c>
      <c r="AA211" s="3153"/>
      <c r="AB211" s="3151">
        <v>821526</v>
      </c>
      <c r="AC211" s="3154">
        <v>43819</v>
      </c>
      <c r="AD211" s="3154">
        <v>44372.487411145834</v>
      </c>
      <c r="AE211" s="3154">
        <v>43847.563430902774</v>
      </c>
      <c r="AF211" s="3154">
        <v>44469</v>
      </c>
      <c r="AG211" s="3154">
        <v>44469</v>
      </c>
      <c r="AH211" s="3149"/>
      <c r="AI211" s="3149"/>
      <c r="AJ211" s="3154">
        <v>45199</v>
      </c>
      <c r="AK211" s="3149"/>
      <c r="AL211" s="3154">
        <v>43814</v>
      </c>
      <c r="AM211" s="3149" t="s">
        <v>3516</v>
      </c>
      <c r="AN211" s="3149" t="s">
        <v>3702</v>
      </c>
      <c r="AO211" s="3149" t="s">
        <v>3638</v>
      </c>
      <c r="AP211" s="3149" t="s">
        <v>3499</v>
      </c>
      <c r="AQ211" s="3149" t="s">
        <v>3499</v>
      </c>
      <c r="AR211" s="3149" t="s">
        <v>3519</v>
      </c>
      <c r="AS211" s="3149" t="s">
        <v>3520</v>
      </c>
      <c r="AT211" s="3149"/>
    </row>
    <row r="212" spans="1:46" ht="33.75">
      <c r="A212" s="3149">
        <v>204</v>
      </c>
      <c r="B212" s="3149" t="s">
        <v>3488</v>
      </c>
      <c r="C212" s="3149" t="s">
        <v>3489</v>
      </c>
      <c r="D212" s="3149" t="s">
        <v>3490</v>
      </c>
      <c r="E212" s="3149" t="s">
        <v>3699</v>
      </c>
      <c r="F212" s="3149" t="s">
        <v>3632</v>
      </c>
      <c r="G212" s="3149" t="s">
        <v>3510</v>
      </c>
      <c r="H212" s="3149" t="s">
        <v>3494</v>
      </c>
      <c r="I212" s="3149" t="s">
        <v>114</v>
      </c>
      <c r="J212" s="3149" t="s">
        <v>3389</v>
      </c>
      <c r="K212" s="3149" t="s">
        <v>3496</v>
      </c>
      <c r="L212" s="3150">
        <v>96.65</v>
      </c>
      <c r="M212" s="3150">
        <v>77.19</v>
      </c>
      <c r="N212" s="3161">
        <v>96.65</v>
      </c>
      <c r="O212" s="3150">
        <v>77.19</v>
      </c>
      <c r="P212" s="3151">
        <v>8500</v>
      </c>
      <c r="Q212" s="3151">
        <v>10642.89</v>
      </c>
      <c r="R212" s="3151">
        <v>821525</v>
      </c>
      <c r="S212" s="3151">
        <v>9909.8189000000002</v>
      </c>
      <c r="T212" s="3151">
        <v>12408.1358</v>
      </c>
      <c r="U212" s="3151">
        <v>957784</v>
      </c>
      <c r="V212" s="3151">
        <v>8500.01</v>
      </c>
      <c r="W212" s="3151">
        <v>10642.91</v>
      </c>
      <c r="X212" s="3151">
        <v>821526</v>
      </c>
      <c r="Y212" s="3152">
        <v>821526</v>
      </c>
      <c r="Z212" s="3152">
        <v>0</v>
      </c>
      <c r="AA212" s="3153"/>
      <c r="AB212" s="3151">
        <v>821526</v>
      </c>
      <c r="AC212" s="3154">
        <v>43819</v>
      </c>
      <c r="AD212" s="3154">
        <v>44372.487411145834</v>
      </c>
      <c r="AE212" s="3154">
        <v>43847.563430902774</v>
      </c>
      <c r="AF212" s="3154">
        <v>44410</v>
      </c>
      <c r="AG212" s="3154">
        <v>44411</v>
      </c>
      <c r="AH212" s="3149"/>
      <c r="AI212" s="3149"/>
      <c r="AJ212" s="3154">
        <v>45199</v>
      </c>
      <c r="AK212" s="3149"/>
      <c r="AL212" s="3154">
        <v>43814</v>
      </c>
      <c r="AM212" s="3149" t="s">
        <v>3516</v>
      </c>
      <c r="AN212" s="3149" t="s">
        <v>3703</v>
      </c>
      <c r="AO212" s="3149" t="s">
        <v>3685</v>
      </c>
      <c r="AP212" s="3149" t="s">
        <v>3499</v>
      </c>
      <c r="AQ212" s="3149" t="s">
        <v>3499</v>
      </c>
      <c r="AR212" s="3149" t="s">
        <v>3519</v>
      </c>
      <c r="AS212" s="3149" t="s">
        <v>3520</v>
      </c>
      <c r="AT212" s="3149"/>
    </row>
    <row r="213" spans="1:46" ht="33.75">
      <c r="A213" s="3149">
        <v>205</v>
      </c>
      <c r="B213" s="3149" t="s">
        <v>3488</v>
      </c>
      <c r="C213" s="3149" t="s">
        <v>3489</v>
      </c>
      <c r="D213" s="3149" t="s">
        <v>3490</v>
      </c>
      <c r="E213" s="3149" t="s">
        <v>3699</v>
      </c>
      <c r="F213" s="3149" t="s">
        <v>3632</v>
      </c>
      <c r="G213" s="3149" t="s">
        <v>3511</v>
      </c>
      <c r="H213" s="3149" t="s">
        <v>3494</v>
      </c>
      <c r="I213" s="3149" t="s">
        <v>114</v>
      </c>
      <c r="J213" s="3149" t="s">
        <v>3389</v>
      </c>
      <c r="K213" s="3149" t="s">
        <v>3496</v>
      </c>
      <c r="L213" s="3150">
        <v>96.65</v>
      </c>
      <c r="M213" s="3150">
        <v>77.19</v>
      </c>
      <c r="N213" s="3161">
        <v>96.65</v>
      </c>
      <c r="O213" s="3150">
        <v>77.19</v>
      </c>
      <c r="P213" s="3151">
        <v>8300</v>
      </c>
      <c r="Q213" s="3151">
        <v>10392.469999999999</v>
      </c>
      <c r="R213" s="3151">
        <v>802195</v>
      </c>
      <c r="S213" s="3151">
        <v>9676.6373999999996</v>
      </c>
      <c r="T213" s="3151">
        <v>12116.1679</v>
      </c>
      <c r="U213" s="3151">
        <v>935247</v>
      </c>
      <c r="V213" s="3151">
        <v>8300</v>
      </c>
      <c r="W213" s="3151">
        <v>10392.469999999999</v>
      </c>
      <c r="X213" s="3151">
        <v>802195</v>
      </c>
      <c r="Y213" s="3152">
        <v>802195</v>
      </c>
      <c r="Z213" s="3152">
        <v>0</v>
      </c>
      <c r="AA213" s="3153"/>
      <c r="AB213" s="3151">
        <v>802195</v>
      </c>
      <c r="AC213" s="3154">
        <v>43819</v>
      </c>
      <c r="AD213" s="3154">
        <v>44372.487411145834</v>
      </c>
      <c r="AE213" s="3154">
        <v>43847.563430902774</v>
      </c>
      <c r="AF213" s="3154">
        <v>44389</v>
      </c>
      <c r="AG213" s="3154">
        <v>44435</v>
      </c>
      <c r="AH213" s="3149"/>
      <c r="AI213" s="3149"/>
      <c r="AJ213" s="3154">
        <v>45199</v>
      </c>
      <c r="AK213" s="3149"/>
      <c r="AL213" s="3154">
        <v>43814</v>
      </c>
      <c r="AM213" s="3149" t="s">
        <v>3516</v>
      </c>
      <c r="AN213" s="3149" t="s">
        <v>3704</v>
      </c>
      <c r="AO213" s="3149" t="s">
        <v>3504</v>
      </c>
      <c r="AP213" s="3149" t="s">
        <v>3499</v>
      </c>
      <c r="AQ213" s="3149" t="s">
        <v>3499</v>
      </c>
      <c r="AR213" s="3149" t="s">
        <v>3519</v>
      </c>
      <c r="AS213" s="3149" t="s">
        <v>3520</v>
      </c>
      <c r="AT213" s="3149"/>
    </row>
    <row r="214" spans="1:46" ht="33.75">
      <c r="A214" s="3149">
        <v>206</v>
      </c>
      <c r="B214" s="3149" t="s">
        <v>3488</v>
      </c>
      <c r="C214" s="3149" t="s">
        <v>3489</v>
      </c>
      <c r="D214" s="3149" t="s">
        <v>3490</v>
      </c>
      <c r="E214" s="3149" t="s">
        <v>3699</v>
      </c>
      <c r="F214" s="3149" t="s">
        <v>3632</v>
      </c>
      <c r="G214" s="3149" t="s">
        <v>3512</v>
      </c>
      <c r="H214" s="3149" t="s">
        <v>3494</v>
      </c>
      <c r="I214" s="3149" t="s">
        <v>114</v>
      </c>
      <c r="J214" s="3149" t="s">
        <v>3389</v>
      </c>
      <c r="K214" s="3149" t="s">
        <v>3496</v>
      </c>
      <c r="L214" s="3150">
        <v>96.65</v>
      </c>
      <c r="M214" s="3150">
        <v>77.19</v>
      </c>
      <c r="N214" s="3161">
        <v>96.65</v>
      </c>
      <c r="O214" s="3150">
        <v>77.19</v>
      </c>
      <c r="P214" s="3151">
        <v>9135.01</v>
      </c>
      <c r="Q214" s="3151">
        <v>11438</v>
      </c>
      <c r="R214" s="3151">
        <v>882899</v>
      </c>
      <c r="S214" s="3151">
        <v>10650.15</v>
      </c>
      <c r="T214" s="3151">
        <v>13335.108200000001</v>
      </c>
      <c r="U214" s="3151">
        <v>1029337</v>
      </c>
      <c r="V214" s="3151">
        <v>9135.01</v>
      </c>
      <c r="W214" s="3151">
        <v>11438</v>
      </c>
      <c r="X214" s="3151">
        <v>882899</v>
      </c>
      <c r="Y214" s="3152">
        <v>882899</v>
      </c>
      <c r="Z214" s="3152">
        <v>0</v>
      </c>
      <c r="AA214" s="3153"/>
      <c r="AB214" s="3151">
        <v>882899</v>
      </c>
      <c r="AC214" s="3154">
        <v>43819</v>
      </c>
      <c r="AD214" s="3154">
        <v>44538.684577083332</v>
      </c>
      <c r="AE214" s="3154">
        <v>43847.563430902774</v>
      </c>
      <c r="AF214" s="3154">
        <v>44554</v>
      </c>
      <c r="AG214" s="3154">
        <v>44554</v>
      </c>
      <c r="AH214" s="3149"/>
      <c r="AI214" s="3149"/>
      <c r="AJ214" s="3154">
        <v>45199</v>
      </c>
      <c r="AK214" s="3149"/>
      <c r="AL214" s="3154">
        <v>43814</v>
      </c>
      <c r="AM214" s="3149" t="s">
        <v>3516</v>
      </c>
      <c r="AN214" s="3149" t="s">
        <v>3705</v>
      </c>
      <c r="AO214" s="3149" t="s">
        <v>3498</v>
      </c>
      <c r="AP214" s="3149" t="s">
        <v>3499</v>
      </c>
      <c r="AQ214" s="3149" t="s">
        <v>3499</v>
      </c>
      <c r="AR214" s="3149" t="s">
        <v>3519</v>
      </c>
      <c r="AS214" s="3149" t="s">
        <v>3520</v>
      </c>
      <c r="AT214" s="3149"/>
    </row>
    <row r="215" spans="1:46" ht="33.75">
      <c r="A215" s="3149">
        <v>207</v>
      </c>
      <c r="B215" s="3149" t="s">
        <v>3488</v>
      </c>
      <c r="C215" s="3149" t="s">
        <v>3489</v>
      </c>
      <c r="D215" s="3149" t="s">
        <v>3490</v>
      </c>
      <c r="E215" s="3149" t="s">
        <v>3699</v>
      </c>
      <c r="F215" s="3149" t="s">
        <v>3632</v>
      </c>
      <c r="G215" s="3149" t="s">
        <v>3513</v>
      </c>
      <c r="H215" s="3149" t="s">
        <v>3494</v>
      </c>
      <c r="I215" s="3149" t="s">
        <v>114</v>
      </c>
      <c r="J215" s="3149" t="s">
        <v>3389</v>
      </c>
      <c r="K215" s="3149" t="s">
        <v>3496</v>
      </c>
      <c r="L215" s="3150">
        <v>96.65</v>
      </c>
      <c r="M215" s="3150">
        <v>77.19</v>
      </c>
      <c r="N215" s="3161">
        <v>96.65</v>
      </c>
      <c r="O215" s="3150">
        <v>77.19</v>
      </c>
      <c r="P215" s="3151">
        <v>8930.01</v>
      </c>
      <c r="Q215" s="3151">
        <v>11181.31</v>
      </c>
      <c r="R215" s="3151">
        <v>863085</v>
      </c>
      <c r="S215" s="3151">
        <v>10411.1433</v>
      </c>
      <c r="T215" s="3151">
        <v>13035.846600000001</v>
      </c>
      <c r="U215" s="3151">
        <v>1006237</v>
      </c>
      <c r="V215" s="3151">
        <v>9212.01</v>
      </c>
      <c r="W215" s="3151">
        <v>11534.41</v>
      </c>
      <c r="X215" s="3151">
        <v>890341</v>
      </c>
      <c r="Y215" s="3152">
        <v>890341</v>
      </c>
      <c r="Z215" s="3152">
        <v>0</v>
      </c>
      <c r="AA215" s="3153"/>
      <c r="AB215" s="3151">
        <v>890341</v>
      </c>
      <c r="AC215" s="3154">
        <v>43819</v>
      </c>
      <c r="AD215" s="3154">
        <v>44372.487411145834</v>
      </c>
      <c r="AE215" s="3154">
        <v>43847.563430902774</v>
      </c>
      <c r="AF215" s="3154">
        <v>44546</v>
      </c>
      <c r="AG215" s="3154">
        <v>44547</v>
      </c>
      <c r="AH215" s="3149"/>
      <c r="AI215" s="3149"/>
      <c r="AJ215" s="3154">
        <v>45199</v>
      </c>
      <c r="AK215" s="3149"/>
      <c r="AL215" s="3154">
        <v>43814</v>
      </c>
      <c r="AM215" s="3149" t="s">
        <v>3516</v>
      </c>
      <c r="AN215" s="3149" t="s">
        <v>3637</v>
      </c>
      <c r="AO215" s="3149" t="s">
        <v>3518</v>
      </c>
      <c r="AP215" s="3149" t="s">
        <v>3499</v>
      </c>
      <c r="AQ215" s="3149" t="s">
        <v>3499</v>
      </c>
      <c r="AR215" s="3149" t="s">
        <v>3519</v>
      </c>
      <c r="AS215" s="3149" t="s">
        <v>3520</v>
      </c>
      <c r="AT215" s="3149"/>
    </row>
    <row r="216" spans="1:46" ht="33.75">
      <c r="A216" s="3149">
        <v>208</v>
      </c>
      <c r="B216" s="3149" t="s">
        <v>3488</v>
      </c>
      <c r="C216" s="3149" t="s">
        <v>3489</v>
      </c>
      <c r="D216" s="3149" t="s">
        <v>3490</v>
      </c>
      <c r="E216" s="3149" t="s">
        <v>3699</v>
      </c>
      <c r="F216" s="3149" t="s">
        <v>3632</v>
      </c>
      <c r="G216" s="3149" t="s">
        <v>3514</v>
      </c>
      <c r="H216" s="3149" t="s">
        <v>3494</v>
      </c>
      <c r="I216" s="3149" t="s">
        <v>114</v>
      </c>
      <c r="J216" s="3149" t="s">
        <v>3389</v>
      </c>
      <c r="K216" s="3149" t="s">
        <v>3496</v>
      </c>
      <c r="L216" s="3150">
        <v>96.65</v>
      </c>
      <c r="M216" s="3150">
        <v>77.19</v>
      </c>
      <c r="N216" s="3161">
        <v>96.65</v>
      </c>
      <c r="O216" s="3150">
        <v>77.19</v>
      </c>
      <c r="P216" s="3151">
        <v>8835</v>
      </c>
      <c r="Q216" s="3151">
        <v>11062.35</v>
      </c>
      <c r="R216" s="3151">
        <v>853903</v>
      </c>
      <c r="S216" s="3151">
        <v>10300.382799999999</v>
      </c>
      <c r="T216" s="3151">
        <v>12897.1628</v>
      </c>
      <c r="U216" s="3151">
        <v>995532</v>
      </c>
      <c r="V216" s="3151">
        <v>8835.01</v>
      </c>
      <c r="W216" s="3151">
        <v>11062.37</v>
      </c>
      <c r="X216" s="3151">
        <v>853904</v>
      </c>
      <c r="Y216" s="3152">
        <v>853904</v>
      </c>
      <c r="Z216" s="3152">
        <v>0</v>
      </c>
      <c r="AA216" s="3153"/>
      <c r="AB216" s="3151">
        <v>300000</v>
      </c>
      <c r="AC216" s="3154">
        <v>43819</v>
      </c>
      <c r="AD216" s="3154">
        <v>44372.487411145834</v>
      </c>
      <c r="AE216" s="3154">
        <v>43847.563430902774</v>
      </c>
      <c r="AF216" s="3154">
        <v>44561</v>
      </c>
      <c r="AG216" s="3154">
        <v>44561</v>
      </c>
      <c r="AH216" s="3149"/>
      <c r="AI216" s="3149"/>
      <c r="AJ216" s="3154">
        <v>45199</v>
      </c>
      <c r="AK216" s="3149"/>
      <c r="AL216" s="3154">
        <v>43814</v>
      </c>
      <c r="AM216" s="3149" t="s">
        <v>3516</v>
      </c>
      <c r="AN216" s="3149" t="s">
        <v>3706</v>
      </c>
      <c r="AO216" s="3149" t="s">
        <v>3518</v>
      </c>
      <c r="AP216" s="3149" t="s">
        <v>3499</v>
      </c>
      <c r="AQ216" s="3149" t="s">
        <v>3499</v>
      </c>
      <c r="AR216" s="3149" t="s">
        <v>3519</v>
      </c>
      <c r="AS216" s="3149" t="s">
        <v>3520</v>
      </c>
      <c r="AT216" s="3149"/>
    </row>
    <row r="217" spans="1:46" ht="33.75">
      <c r="A217" s="3149">
        <v>209</v>
      </c>
      <c r="B217" s="3149" t="s">
        <v>3488</v>
      </c>
      <c r="C217" s="3149" t="s">
        <v>3489</v>
      </c>
      <c r="D217" s="3149" t="s">
        <v>3490</v>
      </c>
      <c r="E217" s="3149" t="s">
        <v>3699</v>
      </c>
      <c r="F217" s="3149" t="s">
        <v>3632</v>
      </c>
      <c r="G217" s="3149" t="s">
        <v>3515</v>
      </c>
      <c r="H217" s="3149" t="s">
        <v>3494</v>
      </c>
      <c r="I217" s="3149" t="s">
        <v>114</v>
      </c>
      <c r="J217" s="3149" t="s">
        <v>3389</v>
      </c>
      <c r="K217" s="3149" t="s">
        <v>3496</v>
      </c>
      <c r="L217" s="3150">
        <v>96.65</v>
      </c>
      <c r="M217" s="3150">
        <v>77.19</v>
      </c>
      <c r="N217" s="3161">
        <v>96.65</v>
      </c>
      <c r="O217" s="3150">
        <v>77.19</v>
      </c>
      <c r="P217" s="3151">
        <v>9025</v>
      </c>
      <c r="Q217" s="3151">
        <v>11300.25</v>
      </c>
      <c r="R217" s="3151">
        <v>872266</v>
      </c>
      <c r="S217" s="3151">
        <v>10521.883099999999</v>
      </c>
      <c r="T217" s="3151">
        <v>13174.504499999999</v>
      </c>
      <c r="U217" s="3151">
        <v>1016940</v>
      </c>
      <c r="V217" s="3151">
        <v>9025</v>
      </c>
      <c r="W217" s="3151">
        <v>11300.25</v>
      </c>
      <c r="X217" s="3151">
        <v>872266</v>
      </c>
      <c r="Y217" s="3152">
        <v>872266</v>
      </c>
      <c r="Z217" s="3152">
        <v>0</v>
      </c>
      <c r="AA217" s="3153"/>
      <c r="AB217" s="3151">
        <v>872266</v>
      </c>
      <c r="AC217" s="3154">
        <v>43819</v>
      </c>
      <c r="AD217" s="3154">
        <v>44372.487411145834</v>
      </c>
      <c r="AE217" s="3154">
        <v>43847.563430902774</v>
      </c>
      <c r="AF217" s="3154">
        <v>44439</v>
      </c>
      <c r="AG217" s="3154">
        <v>44439</v>
      </c>
      <c r="AH217" s="3149"/>
      <c r="AI217" s="3149"/>
      <c r="AJ217" s="3154">
        <v>45199</v>
      </c>
      <c r="AK217" s="3149"/>
      <c r="AL217" s="3154">
        <v>43814</v>
      </c>
      <c r="AM217" s="3149" t="s">
        <v>3516</v>
      </c>
      <c r="AN217" s="3149" t="s">
        <v>3707</v>
      </c>
      <c r="AO217" s="3149" t="s">
        <v>3638</v>
      </c>
      <c r="AP217" s="3149" t="s">
        <v>3499</v>
      </c>
      <c r="AQ217" s="3149" t="s">
        <v>3499</v>
      </c>
      <c r="AR217" s="3149" t="s">
        <v>3519</v>
      </c>
      <c r="AS217" s="3149" t="s">
        <v>3520</v>
      </c>
      <c r="AT217" s="3149"/>
    </row>
    <row r="218" spans="1:46" ht="33.75">
      <c r="A218" s="3149">
        <v>210</v>
      </c>
      <c r="B218" s="3149" t="s">
        <v>3488</v>
      </c>
      <c r="C218" s="3149" t="s">
        <v>3489</v>
      </c>
      <c r="D218" s="3149" t="s">
        <v>3490</v>
      </c>
      <c r="E218" s="3149" t="s">
        <v>3699</v>
      </c>
      <c r="F218" s="3149" t="s">
        <v>3632</v>
      </c>
      <c r="G218" s="3149" t="s">
        <v>3521</v>
      </c>
      <c r="H218" s="3149" t="s">
        <v>3494</v>
      </c>
      <c r="I218" s="3149" t="s">
        <v>114</v>
      </c>
      <c r="J218" s="3149" t="s">
        <v>3389</v>
      </c>
      <c r="K218" s="3149" t="s">
        <v>3496</v>
      </c>
      <c r="L218" s="3150">
        <v>96.65</v>
      </c>
      <c r="M218" s="3150">
        <v>77.19</v>
      </c>
      <c r="N218" s="3161">
        <v>96.65</v>
      </c>
      <c r="O218" s="3150">
        <v>77.19</v>
      </c>
      <c r="P218" s="3151">
        <v>9500</v>
      </c>
      <c r="Q218" s="3151">
        <v>11895</v>
      </c>
      <c r="R218" s="3151">
        <v>918175</v>
      </c>
      <c r="S218" s="3151">
        <v>10300</v>
      </c>
      <c r="T218" s="3151">
        <v>12896.683499999999</v>
      </c>
      <c r="U218" s="3151">
        <v>995495</v>
      </c>
      <c r="V218" s="3151">
        <v>9991</v>
      </c>
      <c r="W218" s="3151">
        <v>12509.78</v>
      </c>
      <c r="X218" s="3151">
        <v>965630</v>
      </c>
      <c r="Y218" s="3152">
        <v>965630</v>
      </c>
      <c r="Z218" s="3152">
        <v>0</v>
      </c>
      <c r="AA218" s="3153"/>
      <c r="AB218" s="3151">
        <v>965630</v>
      </c>
      <c r="AC218" s="3154">
        <v>43819</v>
      </c>
      <c r="AD218" s="3154">
        <v>44102.575221215273</v>
      </c>
      <c r="AE218" s="3154">
        <v>43847.563430902774</v>
      </c>
      <c r="AF218" s="3154">
        <v>44102</v>
      </c>
      <c r="AG218" s="3154">
        <v>44102</v>
      </c>
      <c r="AH218" s="3154">
        <v>44117</v>
      </c>
      <c r="AI218" s="3154">
        <v>44127</v>
      </c>
      <c r="AJ218" s="3154">
        <v>44834</v>
      </c>
      <c r="AK218" s="3149"/>
      <c r="AL218" s="3154">
        <v>43814</v>
      </c>
      <c r="AM218" s="3149" t="s">
        <v>3416</v>
      </c>
      <c r="AN218" s="3149" t="s">
        <v>3708</v>
      </c>
      <c r="AO218" s="3149" t="s">
        <v>3709</v>
      </c>
      <c r="AP218" s="3149" t="s">
        <v>3499</v>
      </c>
      <c r="AQ218" s="3149" t="s">
        <v>3499</v>
      </c>
      <c r="AR218" s="3149" t="s">
        <v>3505</v>
      </c>
      <c r="AS218" s="3149" t="s">
        <v>3561</v>
      </c>
      <c r="AT218" s="3149" t="s">
        <v>3519</v>
      </c>
    </row>
    <row r="219" spans="1:46" ht="33.75">
      <c r="A219" s="3149">
        <v>211</v>
      </c>
      <c r="B219" s="3149" t="s">
        <v>3488</v>
      </c>
      <c r="C219" s="3149" t="s">
        <v>3489</v>
      </c>
      <c r="D219" s="3149" t="s">
        <v>3490</v>
      </c>
      <c r="E219" s="3149" t="s">
        <v>3699</v>
      </c>
      <c r="F219" s="3149" t="s">
        <v>3632</v>
      </c>
      <c r="G219" s="3149" t="s">
        <v>3522</v>
      </c>
      <c r="H219" s="3149" t="s">
        <v>3494</v>
      </c>
      <c r="I219" s="3149" t="s">
        <v>114</v>
      </c>
      <c r="J219" s="3149" t="s">
        <v>3389</v>
      </c>
      <c r="K219" s="3149" t="s">
        <v>3496</v>
      </c>
      <c r="L219" s="3150">
        <v>96.65</v>
      </c>
      <c r="M219" s="3150">
        <v>77.19</v>
      </c>
      <c r="N219" s="3161">
        <v>96.65</v>
      </c>
      <c r="O219" s="3150">
        <v>77.19</v>
      </c>
      <c r="P219" s="3151">
        <v>9025</v>
      </c>
      <c r="Q219" s="3151">
        <v>11300.25</v>
      </c>
      <c r="R219" s="3151">
        <v>872266</v>
      </c>
      <c r="S219" s="3151">
        <v>10521.883099999999</v>
      </c>
      <c r="T219" s="3151">
        <v>13174.504499999999</v>
      </c>
      <c r="U219" s="3151">
        <v>1016940</v>
      </c>
      <c r="V219" s="3151">
        <v>9025</v>
      </c>
      <c r="W219" s="3151">
        <v>11300.25</v>
      </c>
      <c r="X219" s="3151">
        <v>872266</v>
      </c>
      <c r="Y219" s="3152">
        <v>872266</v>
      </c>
      <c r="Z219" s="3152">
        <v>0</v>
      </c>
      <c r="AA219" s="3153"/>
      <c r="AB219" s="3151">
        <v>872266</v>
      </c>
      <c r="AC219" s="3154">
        <v>43819</v>
      </c>
      <c r="AD219" s="3154">
        <v>44372.487411145834</v>
      </c>
      <c r="AE219" s="3154">
        <v>43847.563430902774</v>
      </c>
      <c r="AF219" s="3154">
        <v>44469</v>
      </c>
      <c r="AG219" s="3154">
        <v>44469</v>
      </c>
      <c r="AH219" s="3149"/>
      <c r="AI219" s="3149"/>
      <c r="AJ219" s="3154">
        <v>45199</v>
      </c>
      <c r="AK219" s="3149"/>
      <c r="AL219" s="3154">
        <v>43814</v>
      </c>
      <c r="AM219" s="3149" t="s">
        <v>3516</v>
      </c>
      <c r="AN219" s="3149" t="s">
        <v>3707</v>
      </c>
      <c r="AO219" s="3149" t="s">
        <v>3638</v>
      </c>
      <c r="AP219" s="3149" t="s">
        <v>3499</v>
      </c>
      <c r="AQ219" s="3149" t="s">
        <v>3499</v>
      </c>
      <c r="AR219" s="3149" t="s">
        <v>3519</v>
      </c>
      <c r="AS219" s="3149" t="s">
        <v>3520</v>
      </c>
      <c r="AT219" s="3149"/>
    </row>
    <row r="220" spans="1:46" ht="33.75">
      <c r="A220" s="3149">
        <v>212</v>
      </c>
      <c r="B220" s="3149" t="s">
        <v>3488</v>
      </c>
      <c r="C220" s="3149" t="s">
        <v>3489</v>
      </c>
      <c r="D220" s="3149" t="s">
        <v>3490</v>
      </c>
      <c r="E220" s="3149" t="s">
        <v>3699</v>
      </c>
      <c r="F220" s="3149" t="s">
        <v>3632</v>
      </c>
      <c r="G220" s="3149" t="s">
        <v>3523</v>
      </c>
      <c r="H220" s="3149" t="s">
        <v>3494</v>
      </c>
      <c r="I220" s="3149" t="s">
        <v>114</v>
      </c>
      <c r="J220" s="3149" t="s">
        <v>3389</v>
      </c>
      <c r="K220" s="3149" t="s">
        <v>3496</v>
      </c>
      <c r="L220" s="3150">
        <v>96.65</v>
      </c>
      <c r="M220" s="3150">
        <v>77.19</v>
      </c>
      <c r="N220" s="3161">
        <v>96.65</v>
      </c>
      <c r="O220" s="3150">
        <v>77.19</v>
      </c>
      <c r="P220" s="3151">
        <v>9025</v>
      </c>
      <c r="Q220" s="3151">
        <v>11300.25</v>
      </c>
      <c r="R220" s="3151">
        <v>872266</v>
      </c>
      <c r="S220" s="3151">
        <v>10521.883099999999</v>
      </c>
      <c r="T220" s="3151">
        <v>13174.504499999999</v>
      </c>
      <c r="U220" s="3151">
        <v>1016940</v>
      </c>
      <c r="V220" s="3151">
        <v>9025</v>
      </c>
      <c r="W220" s="3151">
        <v>11300.25</v>
      </c>
      <c r="X220" s="3151">
        <v>872266</v>
      </c>
      <c r="Y220" s="3152">
        <v>872266</v>
      </c>
      <c r="Z220" s="3152">
        <v>0</v>
      </c>
      <c r="AA220" s="3153"/>
      <c r="AB220" s="3151">
        <v>872266</v>
      </c>
      <c r="AC220" s="3154">
        <v>43819</v>
      </c>
      <c r="AD220" s="3154">
        <v>44372.487411145834</v>
      </c>
      <c r="AE220" s="3154">
        <v>43847.563430902774</v>
      </c>
      <c r="AF220" s="3154">
        <v>44469</v>
      </c>
      <c r="AG220" s="3154">
        <v>44469</v>
      </c>
      <c r="AH220" s="3149"/>
      <c r="AI220" s="3149"/>
      <c r="AJ220" s="3154">
        <v>45199</v>
      </c>
      <c r="AK220" s="3149"/>
      <c r="AL220" s="3154">
        <v>43814</v>
      </c>
      <c r="AM220" s="3149" t="s">
        <v>3516</v>
      </c>
      <c r="AN220" s="3149" t="s">
        <v>3706</v>
      </c>
      <c r="AO220" s="3149" t="s">
        <v>3518</v>
      </c>
      <c r="AP220" s="3149" t="s">
        <v>3499</v>
      </c>
      <c r="AQ220" s="3149" t="s">
        <v>3499</v>
      </c>
      <c r="AR220" s="3149" t="s">
        <v>3519</v>
      </c>
      <c r="AS220" s="3149" t="s">
        <v>3520</v>
      </c>
      <c r="AT220" s="3149"/>
    </row>
    <row r="221" spans="1:46" ht="33.75">
      <c r="A221" s="3149">
        <v>213</v>
      </c>
      <c r="B221" s="3149" t="s">
        <v>3488</v>
      </c>
      <c r="C221" s="3149" t="s">
        <v>3489</v>
      </c>
      <c r="D221" s="3149" t="s">
        <v>3490</v>
      </c>
      <c r="E221" s="3149" t="s">
        <v>3699</v>
      </c>
      <c r="F221" s="3149" t="s">
        <v>3632</v>
      </c>
      <c r="G221" s="3149" t="s">
        <v>3525</v>
      </c>
      <c r="H221" s="3149" t="s">
        <v>3494</v>
      </c>
      <c r="I221" s="3149" t="s">
        <v>114</v>
      </c>
      <c r="J221" s="3149" t="s">
        <v>3389</v>
      </c>
      <c r="K221" s="3149" t="s">
        <v>3496</v>
      </c>
      <c r="L221" s="3150">
        <v>132.72</v>
      </c>
      <c r="M221" s="3150">
        <v>106</v>
      </c>
      <c r="N221" s="3161">
        <v>132.72</v>
      </c>
      <c r="O221" s="3150">
        <v>106</v>
      </c>
      <c r="P221" s="3151">
        <v>8550</v>
      </c>
      <c r="Q221" s="3151">
        <v>10705.25</v>
      </c>
      <c r="R221" s="3151">
        <v>1134756</v>
      </c>
      <c r="S221" s="3151">
        <v>9968.1057999999994</v>
      </c>
      <c r="T221" s="3151">
        <v>12480.8208</v>
      </c>
      <c r="U221" s="3151">
        <v>1322967</v>
      </c>
      <c r="V221" s="3151">
        <v>8550</v>
      </c>
      <c r="W221" s="3151">
        <v>10705.25</v>
      </c>
      <c r="X221" s="3151">
        <v>1134756</v>
      </c>
      <c r="Y221" s="3152">
        <v>1134756</v>
      </c>
      <c r="Z221" s="3152">
        <v>0</v>
      </c>
      <c r="AA221" s="3153"/>
      <c r="AB221" s="3151">
        <v>1134756</v>
      </c>
      <c r="AC221" s="3154">
        <v>43819</v>
      </c>
      <c r="AD221" s="3154">
        <v>44372.487411145834</v>
      </c>
      <c r="AE221" s="3154">
        <v>43847.563430902774</v>
      </c>
      <c r="AF221" s="3154">
        <v>44438</v>
      </c>
      <c r="AG221" s="3154">
        <v>44438</v>
      </c>
      <c r="AH221" s="3149"/>
      <c r="AI221" s="3149"/>
      <c r="AJ221" s="3154">
        <v>45199</v>
      </c>
      <c r="AK221" s="3149"/>
      <c r="AL221" s="3154">
        <v>43814</v>
      </c>
      <c r="AM221" s="3149" t="s">
        <v>3516</v>
      </c>
      <c r="AN221" s="3149" t="s">
        <v>3710</v>
      </c>
      <c r="AO221" s="3149" t="s">
        <v>3540</v>
      </c>
      <c r="AP221" s="3149" t="s">
        <v>3499</v>
      </c>
      <c r="AQ221" s="3149" t="s">
        <v>3499</v>
      </c>
      <c r="AR221" s="3149" t="s">
        <v>3519</v>
      </c>
      <c r="AS221" s="3149" t="s">
        <v>3520</v>
      </c>
      <c r="AT221" s="3149"/>
    </row>
    <row r="222" spans="1:46" ht="33.75">
      <c r="A222" s="3149">
        <v>214</v>
      </c>
      <c r="B222" s="3149" t="s">
        <v>3488</v>
      </c>
      <c r="C222" s="3149" t="s">
        <v>3489</v>
      </c>
      <c r="D222" s="3149" t="s">
        <v>3490</v>
      </c>
      <c r="E222" s="3149" t="s">
        <v>3699</v>
      </c>
      <c r="F222" s="3149" t="s">
        <v>3632</v>
      </c>
      <c r="G222" s="3149" t="s">
        <v>3528</v>
      </c>
      <c r="H222" s="3149" t="s">
        <v>3494</v>
      </c>
      <c r="I222" s="3149" t="s">
        <v>114</v>
      </c>
      <c r="J222" s="3149" t="s">
        <v>3389</v>
      </c>
      <c r="K222" s="3149" t="s">
        <v>3496</v>
      </c>
      <c r="L222" s="3150">
        <v>132.72</v>
      </c>
      <c r="M222" s="3150">
        <v>106</v>
      </c>
      <c r="N222" s="3161">
        <v>132.72</v>
      </c>
      <c r="O222" s="3150">
        <v>106</v>
      </c>
      <c r="P222" s="3151">
        <v>8550</v>
      </c>
      <c r="Q222" s="3151">
        <v>10705.25</v>
      </c>
      <c r="R222" s="3151">
        <v>1134756</v>
      </c>
      <c r="S222" s="3151">
        <v>9968.1057999999994</v>
      </c>
      <c r="T222" s="3151">
        <v>12480.8208</v>
      </c>
      <c r="U222" s="3151">
        <v>1322967</v>
      </c>
      <c r="V222" s="3151">
        <v>8550</v>
      </c>
      <c r="W222" s="3151">
        <v>10705.25</v>
      </c>
      <c r="X222" s="3151">
        <v>1134756</v>
      </c>
      <c r="Y222" s="3152">
        <v>1134756</v>
      </c>
      <c r="Z222" s="3152">
        <v>0</v>
      </c>
      <c r="AA222" s="3153"/>
      <c r="AB222" s="3151">
        <v>1134756</v>
      </c>
      <c r="AC222" s="3154">
        <v>43819</v>
      </c>
      <c r="AD222" s="3154">
        <v>44372.487411145834</v>
      </c>
      <c r="AE222" s="3154">
        <v>43847.563430902774</v>
      </c>
      <c r="AF222" s="3154">
        <v>44560</v>
      </c>
      <c r="AG222" s="3154">
        <v>44560</v>
      </c>
      <c r="AH222" s="3149"/>
      <c r="AI222" s="3149"/>
      <c r="AJ222" s="3154">
        <v>45199</v>
      </c>
      <c r="AK222" s="3149"/>
      <c r="AL222" s="3154">
        <v>43814</v>
      </c>
      <c r="AM222" s="3149" t="s">
        <v>3516</v>
      </c>
      <c r="AN222" s="3149" t="s">
        <v>3543</v>
      </c>
      <c r="AO222" s="3149" t="s">
        <v>3638</v>
      </c>
      <c r="AP222" s="3149" t="s">
        <v>3499</v>
      </c>
      <c r="AQ222" s="3149" t="s">
        <v>3499</v>
      </c>
      <c r="AR222" s="3149" t="s">
        <v>3519</v>
      </c>
      <c r="AS222" s="3149" t="s">
        <v>3520</v>
      </c>
      <c r="AT222" s="3149"/>
    </row>
    <row r="223" spans="1:46" ht="33.75">
      <c r="A223" s="3149">
        <v>215</v>
      </c>
      <c r="B223" s="3149" t="s">
        <v>3488</v>
      </c>
      <c r="C223" s="3149" t="s">
        <v>3489</v>
      </c>
      <c r="D223" s="3149" t="s">
        <v>3490</v>
      </c>
      <c r="E223" s="3149" t="s">
        <v>3699</v>
      </c>
      <c r="F223" s="3149" t="s">
        <v>3492</v>
      </c>
      <c r="G223" s="3149" t="s">
        <v>3493</v>
      </c>
      <c r="H223" s="3149" t="s">
        <v>3494</v>
      </c>
      <c r="I223" s="3149" t="s">
        <v>114</v>
      </c>
      <c r="J223" s="3149" t="s">
        <v>3389</v>
      </c>
      <c r="K223" s="3149" t="s">
        <v>3496</v>
      </c>
      <c r="L223" s="3150">
        <v>96.65</v>
      </c>
      <c r="M223" s="3150">
        <v>77.19</v>
      </c>
      <c r="N223" s="3161">
        <v>96.65</v>
      </c>
      <c r="O223" s="3150">
        <v>77.19</v>
      </c>
      <c r="P223" s="3151">
        <v>12773.67</v>
      </c>
      <c r="Q223" s="3151">
        <v>15993.98</v>
      </c>
      <c r="R223" s="3151">
        <v>1234575</v>
      </c>
      <c r="S223" s="3151">
        <v>14489.611999999999</v>
      </c>
      <c r="T223" s="3151">
        <v>18142.518499999998</v>
      </c>
      <c r="U223" s="3151">
        <v>1400421</v>
      </c>
      <c r="V223" s="3151">
        <v>13413.39</v>
      </c>
      <c r="W223" s="3151">
        <v>16794.97</v>
      </c>
      <c r="X223" s="3151">
        <v>1296404</v>
      </c>
      <c r="Y223" s="3152">
        <v>1296404</v>
      </c>
      <c r="Z223" s="3152">
        <v>0</v>
      </c>
      <c r="AA223" s="3153"/>
      <c r="AB223" s="3151">
        <v>1296404</v>
      </c>
      <c r="AC223" s="3154">
        <v>43819</v>
      </c>
      <c r="AD223" s="3154">
        <v>43941.696851817127</v>
      </c>
      <c r="AE223" s="3154">
        <v>43847.563430902774</v>
      </c>
      <c r="AF223" s="3154">
        <v>44103</v>
      </c>
      <c r="AG223" s="3154">
        <v>44103</v>
      </c>
      <c r="AH223" s="3154">
        <v>44128</v>
      </c>
      <c r="AI223" s="3154">
        <v>44134</v>
      </c>
      <c r="AJ223" s="3154">
        <v>44834</v>
      </c>
      <c r="AK223" s="3149"/>
      <c r="AL223" s="3154">
        <v>43814</v>
      </c>
      <c r="AM223" s="3149" t="s">
        <v>3416</v>
      </c>
      <c r="AN223" s="3149" t="s">
        <v>3711</v>
      </c>
      <c r="AO223" s="3149" t="s">
        <v>3498</v>
      </c>
      <c r="AP223" s="3149" t="s">
        <v>3499</v>
      </c>
      <c r="AQ223" s="3149" t="s">
        <v>3499</v>
      </c>
      <c r="AR223" s="3149" t="s">
        <v>3500</v>
      </c>
      <c r="AS223" s="3149" t="s">
        <v>3712</v>
      </c>
      <c r="AT223" s="3149"/>
    </row>
    <row r="224" spans="1:46" ht="33.75">
      <c r="A224" s="3149">
        <v>216</v>
      </c>
      <c r="B224" s="3149" t="s">
        <v>3488</v>
      </c>
      <c r="C224" s="3149" t="s">
        <v>3489</v>
      </c>
      <c r="D224" s="3149" t="s">
        <v>3490</v>
      </c>
      <c r="E224" s="3149" t="s">
        <v>3699</v>
      </c>
      <c r="F224" s="3149" t="s">
        <v>3492</v>
      </c>
      <c r="G224" s="3149" t="s">
        <v>3502</v>
      </c>
      <c r="H224" s="3149" t="s">
        <v>3494</v>
      </c>
      <c r="I224" s="3149" t="s">
        <v>114</v>
      </c>
      <c r="J224" s="3149" t="s">
        <v>3389</v>
      </c>
      <c r="K224" s="3149" t="s">
        <v>3496</v>
      </c>
      <c r="L224" s="3150">
        <v>96.65</v>
      </c>
      <c r="M224" s="3150">
        <v>77.19</v>
      </c>
      <c r="N224" s="3161">
        <v>96.65</v>
      </c>
      <c r="O224" s="3150">
        <v>77.19</v>
      </c>
      <c r="P224" s="3151">
        <v>12780.19</v>
      </c>
      <c r="Q224" s="3151">
        <v>16002.14</v>
      </c>
      <c r="R224" s="3151">
        <v>1235205</v>
      </c>
      <c r="S224" s="3151">
        <v>14496.471799999999</v>
      </c>
      <c r="T224" s="3151">
        <v>18151.1077</v>
      </c>
      <c r="U224" s="3151">
        <v>1401084</v>
      </c>
      <c r="V224" s="3151">
        <v>13352.87</v>
      </c>
      <c r="W224" s="3151">
        <v>16719.2</v>
      </c>
      <c r="X224" s="3151">
        <v>1290555</v>
      </c>
      <c r="Y224" s="3152">
        <v>1290555</v>
      </c>
      <c r="Z224" s="3152">
        <v>0</v>
      </c>
      <c r="AA224" s="3153"/>
      <c r="AB224" s="3151">
        <v>1290555</v>
      </c>
      <c r="AC224" s="3154">
        <v>43819</v>
      </c>
      <c r="AD224" s="3154">
        <v>43941.696851817127</v>
      </c>
      <c r="AE224" s="3154">
        <v>43847.563430902774</v>
      </c>
      <c r="AF224" s="3154">
        <v>43974</v>
      </c>
      <c r="AG224" s="3154">
        <v>43999</v>
      </c>
      <c r="AH224" s="3154">
        <v>44034</v>
      </c>
      <c r="AI224" s="3154">
        <v>44049</v>
      </c>
      <c r="AJ224" s="3154">
        <v>44834</v>
      </c>
      <c r="AK224" s="3149"/>
      <c r="AL224" s="3154">
        <v>43814</v>
      </c>
      <c r="AM224" s="3149" t="s">
        <v>3416</v>
      </c>
      <c r="AN224" s="3149" t="s">
        <v>3713</v>
      </c>
      <c r="AO224" s="3149" t="s">
        <v>3540</v>
      </c>
      <c r="AP224" s="3149" t="s">
        <v>3499</v>
      </c>
      <c r="AQ224" s="3149" t="s">
        <v>3499</v>
      </c>
      <c r="AR224" s="3149" t="s">
        <v>3505</v>
      </c>
      <c r="AS224" s="3149" t="s">
        <v>3506</v>
      </c>
      <c r="AT224" s="3149" t="s">
        <v>3507</v>
      </c>
    </row>
    <row r="225" spans="1:46" ht="33.75">
      <c r="A225" s="3149">
        <v>217</v>
      </c>
      <c r="B225" s="3149" t="s">
        <v>3488</v>
      </c>
      <c r="C225" s="3149" t="s">
        <v>3489</v>
      </c>
      <c r="D225" s="3149" t="s">
        <v>3490</v>
      </c>
      <c r="E225" s="3149" t="s">
        <v>3699</v>
      </c>
      <c r="F225" s="3149" t="s">
        <v>3492</v>
      </c>
      <c r="G225" s="3149" t="s">
        <v>3508</v>
      </c>
      <c r="H225" s="3149" t="s">
        <v>3494</v>
      </c>
      <c r="I225" s="3149" t="s">
        <v>114</v>
      </c>
      <c r="J225" s="3149" t="s">
        <v>3389</v>
      </c>
      <c r="K225" s="3149" t="s">
        <v>3496</v>
      </c>
      <c r="L225" s="3150">
        <v>96.65</v>
      </c>
      <c r="M225" s="3150">
        <v>77.19</v>
      </c>
      <c r="N225" s="3161">
        <v>96.65</v>
      </c>
      <c r="O225" s="3150">
        <v>77.19</v>
      </c>
      <c r="P225" s="3151">
        <v>8500</v>
      </c>
      <c r="Q225" s="3151">
        <v>10642.89</v>
      </c>
      <c r="R225" s="3151">
        <v>821525</v>
      </c>
      <c r="S225" s="3151">
        <v>10189.622300000001</v>
      </c>
      <c r="T225" s="3151">
        <v>12758.4791</v>
      </c>
      <c r="U225" s="3151">
        <v>984827</v>
      </c>
      <c r="V225" s="3151">
        <v>8500</v>
      </c>
      <c r="W225" s="3151">
        <v>10642.89</v>
      </c>
      <c r="X225" s="3151">
        <v>821525</v>
      </c>
      <c r="Y225" s="3152">
        <v>821525</v>
      </c>
      <c r="Z225" s="3152">
        <v>0</v>
      </c>
      <c r="AA225" s="3153"/>
      <c r="AB225" s="3151">
        <v>821525</v>
      </c>
      <c r="AC225" s="3154">
        <v>43819</v>
      </c>
      <c r="AD225" s="3154">
        <v>44335.729739895833</v>
      </c>
      <c r="AE225" s="3154">
        <v>43847.563430902774</v>
      </c>
      <c r="AF225" s="3154">
        <v>44351</v>
      </c>
      <c r="AG225" s="3154">
        <v>44351</v>
      </c>
      <c r="AH225" s="3154">
        <v>44369</v>
      </c>
      <c r="AI225" s="3154">
        <v>44380</v>
      </c>
      <c r="AJ225" s="3154">
        <v>44834</v>
      </c>
      <c r="AK225" s="3149"/>
      <c r="AL225" s="3154">
        <v>43814</v>
      </c>
      <c r="AM225" s="3149" t="s">
        <v>3416</v>
      </c>
      <c r="AN225" s="3149" t="s">
        <v>3714</v>
      </c>
      <c r="AO225" s="3149" t="s">
        <v>3504</v>
      </c>
      <c r="AP225" s="3149" t="s">
        <v>3499</v>
      </c>
      <c r="AQ225" s="3149" t="s">
        <v>3499</v>
      </c>
      <c r="AR225" s="3149" t="s">
        <v>3500</v>
      </c>
      <c r="AS225" s="3149" t="s">
        <v>3519</v>
      </c>
      <c r="AT225" s="3149"/>
    </row>
    <row r="226" spans="1:46" ht="33.75">
      <c r="A226" s="3149">
        <v>218</v>
      </c>
      <c r="B226" s="3149" t="s">
        <v>3488</v>
      </c>
      <c r="C226" s="3149" t="s">
        <v>3489</v>
      </c>
      <c r="D226" s="3149" t="s">
        <v>3490</v>
      </c>
      <c r="E226" s="3149" t="s">
        <v>3699</v>
      </c>
      <c r="F226" s="3149" t="s">
        <v>3492</v>
      </c>
      <c r="G226" s="3149" t="s">
        <v>3510</v>
      </c>
      <c r="H226" s="3149" t="s">
        <v>3494</v>
      </c>
      <c r="I226" s="3149" t="s">
        <v>114</v>
      </c>
      <c r="J226" s="3149" t="s">
        <v>3389</v>
      </c>
      <c r="K226" s="3149" t="s">
        <v>3496</v>
      </c>
      <c r="L226" s="3150">
        <v>96.65</v>
      </c>
      <c r="M226" s="3150">
        <v>77.19</v>
      </c>
      <c r="N226" s="3161">
        <v>96.65</v>
      </c>
      <c r="O226" s="3150">
        <v>77.19</v>
      </c>
      <c r="P226" s="3151">
        <v>8740</v>
      </c>
      <c r="Q226" s="3151">
        <v>10943.4</v>
      </c>
      <c r="R226" s="3151">
        <v>844721</v>
      </c>
      <c r="S226" s="3151">
        <v>10189.622300000001</v>
      </c>
      <c r="T226" s="3151">
        <v>12758.4791</v>
      </c>
      <c r="U226" s="3151">
        <v>984827</v>
      </c>
      <c r="V226" s="3151">
        <v>8740.01</v>
      </c>
      <c r="W226" s="3151">
        <v>10943.41</v>
      </c>
      <c r="X226" s="3151">
        <v>844722</v>
      </c>
      <c r="Y226" s="3152">
        <v>844722</v>
      </c>
      <c r="Z226" s="3152">
        <v>0</v>
      </c>
      <c r="AA226" s="3153"/>
      <c r="AB226" s="3151">
        <v>844722</v>
      </c>
      <c r="AC226" s="3154">
        <v>43819</v>
      </c>
      <c r="AD226" s="3154">
        <v>44372.487411145834</v>
      </c>
      <c r="AE226" s="3154">
        <v>43847.563430902774</v>
      </c>
      <c r="AF226" s="3154">
        <v>44439</v>
      </c>
      <c r="AG226" s="3154">
        <v>44439</v>
      </c>
      <c r="AH226" s="3149"/>
      <c r="AI226" s="3149"/>
      <c r="AJ226" s="3154">
        <v>45199</v>
      </c>
      <c r="AK226" s="3149"/>
      <c r="AL226" s="3154">
        <v>43814</v>
      </c>
      <c r="AM226" s="3149" t="s">
        <v>3516</v>
      </c>
      <c r="AN226" s="3149" t="s">
        <v>3715</v>
      </c>
      <c r="AO226" s="3149" t="s">
        <v>3638</v>
      </c>
      <c r="AP226" s="3149" t="s">
        <v>3499</v>
      </c>
      <c r="AQ226" s="3149" t="s">
        <v>3499</v>
      </c>
      <c r="AR226" s="3149" t="s">
        <v>3519</v>
      </c>
      <c r="AS226" s="3149" t="s">
        <v>3520</v>
      </c>
      <c r="AT226" s="3149"/>
    </row>
    <row r="227" spans="1:46" ht="33.75">
      <c r="A227" s="3149">
        <v>219</v>
      </c>
      <c r="B227" s="3149" t="s">
        <v>3488</v>
      </c>
      <c r="C227" s="3149" t="s">
        <v>3489</v>
      </c>
      <c r="D227" s="3149" t="s">
        <v>3490</v>
      </c>
      <c r="E227" s="3149" t="s">
        <v>3699</v>
      </c>
      <c r="F227" s="3149" t="s">
        <v>3492</v>
      </c>
      <c r="G227" s="3149" t="s">
        <v>3511</v>
      </c>
      <c r="H227" s="3149" t="s">
        <v>3494</v>
      </c>
      <c r="I227" s="3149" t="s">
        <v>114</v>
      </c>
      <c r="J227" s="3149" t="s">
        <v>3389</v>
      </c>
      <c r="K227" s="3149" t="s">
        <v>3496</v>
      </c>
      <c r="L227" s="3150">
        <v>96.65</v>
      </c>
      <c r="M227" s="3150">
        <v>77.19</v>
      </c>
      <c r="N227" s="3161">
        <v>96.65</v>
      </c>
      <c r="O227" s="3150">
        <v>77.19</v>
      </c>
      <c r="P227" s="3151">
        <v>9225.01</v>
      </c>
      <c r="Q227" s="3151">
        <v>11550.68</v>
      </c>
      <c r="R227" s="3151">
        <v>891597</v>
      </c>
      <c r="S227" s="3151">
        <v>10755.075000000001</v>
      </c>
      <c r="T227" s="3151">
        <v>13466.4853</v>
      </c>
      <c r="U227" s="3151">
        <v>1039478</v>
      </c>
      <c r="V227" s="3151">
        <v>9225.02</v>
      </c>
      <c r="W227" s="3151">
        <v>11550.69</v>
      </c>
      <c r="X227" s="3151">
        <v>891598</v>
      </c>
      <c r="Y227" s="3152">
        <v>891598</v>
      </c>
      <c r="Z227" s="3152">
        <v>0</v>
      </c>
      <c r="AA227" s="3153"/>
      <c r="AB227" s="3151">
        <v>891598</v>
      </c>
      <c r="AC227" s="3154">
        <v>43819</v>
      </c>
      <c r="AD227" s="3154">
        <v>44538.684577083332</v>
      </c>
      <c r="AE227" s="3154">
        <v>43847.563430902774</v>
      </c>
      <c r="AF227" s="3154">
        <v>44554</v>
      </c>
      <c r="AG227" s="3154">
        <v>44554</v>
      </c>
      <c r="AH227" s="3149"/>
      <c r="AI227" s="3149"/>
      <c r="AJ227" s="3154">
        <v>45199</v>
      </c>
      <c r="AK227" s="3149"/>
      <c r="AL227" s="3154">
        <v>43814</v>
      </c>
      <c r="AM227" s="3149" t="s">
        <v>3516</v>
      </c>
      <c r="AN227" s="3149" t="s">
        <v>3716</v>
      </c>
      <c r="AO227" s="3149" t="s">
        <v>3498</v>
      </c>
      <c r="AP227" s="3149" t="s">
        <v>3499</v>
      </c>
      <c r="AQ227" s="3149" t="s">
        <v>3499</v>
      </c>
      <c r="AR227" s="3149" t="s">
        <v>3519</v>
      </c>
      <c r="AS227" s="3149" t="s">
        <v>3520</v>
      </c>
      <c r="AT227" s="3149"/>
    </row>
    <row r="228" spans="1:46" ht="33.75">
      <c r="A228" s="3149">
        <v>220</v>
      </c>
      <c r="B228" s="3149" t="s">
        <v>3488</v>
      </c>
      <c r="C228" s="3149" t="s">
        <v>3489</v>
      </c>
      <c r="D228" s="3149" t="s">
        <v>3490</v>
      </c>
      <c r="E228" s="3149" t="s">
        <v>3699</v>
      </c>
      <c r="F228" s="3149" t="s">
        <v>3492</v>
      </c>
      <c r="G228" s="3149" t="s">
        <v>3512</v>
      </c>
      <c r="H228" s="3149" t="s">
        <v>3494</v>
      </c>
      <c r="I228" s="3149" t="s">
        <v>114</v>
      </c>
      <c r="J228" s="3149" t="s">
        <v>3389</v>
      </c>
      <c r="K228" s="3149" t="s">
        <v>3496</v>
      </c>
      <c r="L228" s="3150">
        <v>96.65</v>
      </c>
      <c r="M228" s="3150">
        <v>77.19</v>
      </c>
      <c r="N228" s="3161">
        <v>96.65</v>
      </c>
      <c r="O228" s="3150">
        <v>77.19</v>
      </c>
      <c r="P228" s="3151">
        <v>9225.01</v>
      </c>
      <c r="Q228" s="3151">
        <v>11550.68</v>
      </c>
      <c r="R228" s="3151">
        <v>891597</v>
      </c>
      <c r="S228" s="3151">
        <v>10755.075000000001</v>
      </c>
      <c r="T228" s="3151">
        <v>13466.4853</v>
      </c>
      <c r="U228" s="3151">
        <v>1039478</v>
      </c>
      <c r="V228" s="3151">
        <v>9225.02</v>
      </c>
      <c r="W228" s="3151">
        <v>11550.69</v>
      </c>
      <c r="X228" s="3151">
        <v>891598</v>
      </c>
      <c r="Y228" s="3152">
        <v>891598</v>
      </c>
      <c r="Z228" s="3152">
        <v>0</v>
      </c>
      <c r="AA228" s="3153"/>
      <c r="AB228" s="3151">
        <v>891598</v>
      </c>
      <c r="AC228" s="3154">
        <v>43819</v>
      </c>
      <c r="AD228" s="3154">
        <v>44538.684577083332</v>
      </c>
      <c r="AE228" s="3154">
        <v>43847.563430902774</v>
      </c>
      <c r="AF228" s="3154">
        <v>44554</v>
      </c>
      <c r="AG228" s="3154">
        <v>44554</v>
      </c>
      <c r="AH228" s="3154">
        <v>45226</v>
      </c>
      <c r="AI228" s="3149"/>
      <c r="AJ228" s="3154">
        <v>45199</v>
      </c>
      <c r="AK228" s="3149"/>
      <c r="AL228" s="3154">
        <v>43814</v>
      </c>
      <c r="AM228" s="3149" t="s">
        <v>3516</v>
      </c>
      <c r="AN228" s="3149" t="s">
        <v>3717</v>
      </c>
      <c r="AO228" s="3149" t="s">
        <v>3498</v>
      </c>
      <c r="AP228" s="3149" t="s">
        <v>3499</v>
      </c>
      <c r="AQ228" s="3149" t="s">
        <v>3499</v>
      </c>
      <c r="AR228" s="3149" t="s">
        <v>3519</v>
      </c>
      <c r="AS228" s="3149" t="s">
        <v>3520</v>
      </c>
      <c r="AT228" s="3149"/>
    </row>
    <row r="229" spans="1:46" ht="33.75">
      <c r="A229" s="3149">
        <v>221</v>
      </c>
      <c r="B229" s="3149" t="s">
        <v>3488</v>
      </c>
      <c r="C229" s="3149" t="s">
        <v>3489</v>
      </c>
      <c r="D229" s="3149" t="s">
        <v>3490</v>
      </c>
      <c r="E229" s="3149" t="s">
        <v>3699</v>
      </c>
      <c r="F229" s="3149" t="s">
        <v>3492</v>
      </c>
      <c r="G229" s="3149" t="s">
        <v>3513</v>
      </c>
      <c r="H229" s="3149" t="s">
        <v>3509</v>
      </c>
      <c r="I229" s="3149" t="s">
        <v>114</v>
      </c>
      <c r="J229" s="3149" t="s">
        <v>3389</v>
      </c>
      <c r="K229" s="3149" t="s">
        <v>3496</v>
      </c>
      <c r="L229" s="3150">
        <v>96.65</v>
      </c>
      <c r="M229" s="3150">
        <v>77.19</v>
      </c>
      <c r="N229" s="3161">
        <v>96.65</v>
      </c>
      <c r="O229" s="3150">
        <v>77.19</v>
      </c>
      <c r="P229" s="3151">
        <v>5400</v>
      </c>
      <c r="Q229" s="3151">
        <v>6761.37</v>
      </c>
      <c r="R229" s="3151">
        <v>521910</v>
      </c>
      <c r="S229" s="3151">
        <v>5400</v>
      </c>
      <c r="T229" s="3151">
        <v>6761.3680999999997</v>
      </c>
      <c r="U229" s="3151">
        <v>521910</v>
      </c>
      <c r="V229" s="3153"/>
      <c r="W229" s="3153"/>
      <c r="X229" s="3153"/>
      <c r="Y229" s="3153"/>
      <c r="Z229" s="3152">
        <v>0</v>
      </c>
      <c r="AA229" s="3153"/>
      <c r="AB229" s="3151">
        <v>0</v>
      </c>
      <c r="AC229" s="3154">
        <v>43819</v>
      </c>
      <c r="AD229" s="3154">
        <v>45264.773614039354</v>
      </c>
      <c r="AE229" s="3154">
        <v>43847.563430902774</v>
      </c>
      <c r="AF229" s="3149"/>
      <c r="AG229" s="3149"/>
      <c r="AH229" s="3149"/>
      <c r="AI229" s="3149"/>
      <c r="AJ229" s="3149"/>
      <c r="AK229" s="3149"/>
      <c r="AL229" s="3154">
        <v>43814</v>
      </c>
      <c r="AM229" s="3149"/>
      <c r="AN229" s="3149"/>
      <c r="AO229" s="3149"/>
      <c r="AP229" s="3149"/>
      <c r="AQ229" s="3149"/>
      <c r="AR229" s="3149"/>
      <c r="AS229" s="3149"/>
      <c r="AT229" s="3149"/>
    </row>
    <row r="230" spans="1:46" ht="33.75">
      <c r="A230" s="3149">
        <v>222</v>
      </c>
      <c r="B230" s="3149" t="s">
        <v>3488</v>
      </c>
      <c r="C230" s="3149" t="s">
        <v>3489</v>
      </c>
      <c r="D230" s="3149" t="s">
        <v>3490</v>
      </c>
      <c r="E230" s="3149" t="s">
        <v>3699</v>
      </c>
      <c r="F230" s="3149" t="s">
        <v>3492</v>
      </c>
      <c r="G230" s="3149" t="s">
        <v>3514</v>
      </c>
      <c r="H230" s="3149" t="s">
        <v>3494</v>
      </c>
      <c r="I230" s="3149" t="s">
        <v>114</v>
      </c>
      <c r="J230" s="3149" t="s">
        <v>3389</v>
      </c>
      <c r="K230" s="3149" t="s">
        <v>3496</v>
      </c>
      <c r="L230" s="3150">
        <v>96.65</v>
      </c>
      <c r="M230" s="3150">
        <v>77.19</v>
      </c>
      <c r="N230" s="3161">
        <v>96.65</v>
      </c>
      <c r="O230" s="3150">
        <v>77.19</v>
      </c>
      <c r="P230" s="3151">
        <v>8835</v>
      </c>
      <c r="Q230" s="3151">
        <v>11062.35</v>
      </c>
      <c r="R230" s="3151">
        <v>853903</v>
      </c>
      <c r="S230" s="3151">
        <v>10300.382799999999</v>
      </c>
      <c r="T230" s="3151">
        <v>12897.1628</v>
      </c>
      <c r="U230" s="3151">
        <v>995532</v>
      </c>
      <c r="V230" s="3151">
        <v>8835.01</v>
      </c>
      <c r="W230" s="3151">
        <v>11062.37</v>
      </c>
      <c r="X230" s="3151">
        <v>853904</v>
      </c>
      <c r="Y230" s="3152">
        <v>853904</v>
      </c>
      <c r="Z230" s="3152">
        <v>0</v>
      </c>
      <c r="AA230" s="3153"/>
      <c r="AB230" s="3151">
        <v>853904</v>
      </c>
      <c r="AC230" s="3154">
        <v>43819</v>
      </c>
      <c r="AD230" s="3154">
        <v>44372.487411145834</v>
      </c>
      <c r="AE230" s="3154">
        <v>43847.563430902774</v>
      </c>
      <c r="AF230" s="3154">
        <v>44439</v>
      </c>
      <c r="AG230" s="3154">
        <v>44469</v>
      </c>
      <c r="AH230" s="3149"/>
      <c r="AI230" s="3149"/>
      <c r="AJ230" s="3154">
        <v>45199</v>
      </c>
      <c r="AK230" s="3149"/>
      <c r="AL230" s="3154">
        <v>43814</v>
      </c>
      <c r="AM230" s="3149" t="s">
        <v>3516</v>
      </c>
      <c r="AN230" s="3149" t="s">
        <v>3718</v>
      </c>
      <c r="AO230" s="3149" t="s">
        <v>3638</v>
      </c>
      <c r="AP230" s="3149" t="s">
        <v>3499</v>
      </c>
      <c r="AQ230" s="3149" t="s">
        <v>3499</v>
      </c>
      <c r="AR230" s="3149" t="s">
        <v>3519</v>
      </c>
      <c r="AS230" s="3149" t="s">
        <v>3520</v>
      </c>
      <c r="AT230" s="3149"/>
    </row>
    <row r="231" spans="1:46" ht="33.75">
      <c r="A231" s="3149">
        <v>223</v>
      </c>
      <c r="B231" s="3149" t="s">
        <v>3488</v>
      </c>
      <c r="C231" s="3149" t="s">
        <v>3489</v>
      </c>
      <c r="D231" s="3149" t="s">
        <v>3490</v>
      </c>
      <c r="E231" s="3149" t="s">
        <v>3699</v>
      </c>
      <c r="F231" s="3149" t="s">
        <v>3492</v>
      </c>
      <c r="G231" s="3149" t="s">
        <v>3515</v>
      </c>
      <c r="H231" s="3149" t="s">
        <v>3509</v>
      </c>
      <c r="I231" s="3149" t="s">
        <v>114</v>
      </c>
      <c r="J231" s="3149" t="s">
        <v>3389</v>
      </c>
      <c r="K231" s="3149" t="s">
        <v>3496</v>
      </c>
      <c r="L231" s="3150">
        <v>96.65</v>
      </c>
      <c r="M231" s="3150">
        <v>77.19</v>
      </c>
      <c r="N231" s="3161">
        <v>96.65</v>
      </c>
      <c r="O231" s="3150">
        <v>77.19</v>
      </c>
      <c r="P231" s="3151">
        <v>5500</v>
      </c>
      <c r="Q231" s="3151">
        <v>6886.58</v>
      </c>
      <c r="R231" s="3151">
        <v>531575</v>
      </c>
      <c r="S231" s="3151">
        <v>5500</v>
      </c>
      <c r="T231" s="3151">
        <v>6886.5785999999998</v>
      </c>
      <c r="U231" s="3151">
        <v>531575</v>
      </c>
      <c r="V231" s="3153"/>
      <c r="W231" s="3153"/>
      <c r="X231" s="3153"/>
      <c r="Y231" s="3153"/>
      <c r="Z231" s="3152">
        <v>0</v>
      </c>
      <c r="AA231" s="3153"/>
      <c r="AB231" s="3151">
        <v>0</v>
      </c>
      <c r="AC231" s="3154">
        <v>43819</v>
      </c>
      <c r="AD231" s="3154">
        <v>45264.773614039354</v>
      </c>
      <c r="AE231" s="3154">
        <v>43847.563430902774</v>
      </c>
      <c r="AF231" s="3149"/>
      <c r="AG231" s="3149"/>
      <c r="AH231" s="3149"/>
      <c r="AI231" s="3149"/>
      <c r="AJ231" s="3149"/>
      <c r="AK231" s="3149"/>
      <c r="AL231" s="3154">
        <v>43814</v>
      </c>
      <c r="AM231" s="3149"/>
      <c r="AN231" s="3149"/>
      <c r="AO231" s="3149"/>
      <c r="AP231" s="3149"/>
      <c r="AQ231" s="3149"/>
      <c r="AR231" s="3149"/>
      <c r="AS231" s="3149"/>
      <c r="AT231" s="3149"/>
    </row>
    <row r="232" spans="1:46" ht="33.75">
      <c r="A232" s="3149">
        <v>224</v>
      </c>
      <c r="B232" s="3149" t="s">
        <v>3488</v>
      </c>
      <c r="C232" s="3149" t="s">
        <v>3489</v>
      </c>
      <c r="D232" s="3149" t="s">
        <v>3490</v>
      </c>
      <c r="E232" s="3149" t="s">
        <v>3699</v>
      </c>
      <c r="F232" s="3149" t="s">
        <v>3492</v>
      </c>
      <c r="G232" s="3149" t="s">
        <v>3521</v>
      </c>
      <c r="H232" s="3149" t="s">
        <v>3494</v>
      </c>
      <c r="I232" s="3149" t="s">
        <v>114</v>
      </c>
      <c r="J232" s="3149" t="s">
        <v>3389</v>
      </c>
      <c r="K232" s="3149" t="s">
        <v>3496</v>
      </c>
      <c r="L232" s="3150">
        <v>96.65</v>
      </c>
      <c r="M232" s="3150">
        <v>77.19</v>
      </c>
      <c r="N232" s="3161">
        <v>96.65</v>
      </c>
      <c r="O232" s="3150">
        <v>77.19</v>
      </c>
      <c r="P232" s="3151">
        <v>8600</v>
      </c>
      <c r="Q232" s="3151">
        <v>10768.1</v>
      </c>
      <c r="R232" s="3151">
        <v>831190</v>
      </c>
      <c r="S232" s="3151">
        <v>10026.4046</v>
      </c>
      <c r="T232" s="3151">
        <v>12554.1132</v>
      </c>
      <c r="U232" s="3151">
        <v>969052</v>
      </c>
      <c r="V232" s="3151">
        <v>8600</v>
      </c>
      <c r="W232" s="3151">
        <v>10768.1</v>
      </c>
      <c r="X232" s="3151">
        <v>831190</v>
      </c>
      <c r="Y232" s="3152">
        <v>831190</v>
      </c>
      <c r="Z232" s="3152">
        <v>0</v>
      </c>
      <c r="AA232" s="3153"/>
      <c r="AB232" s="3151">
        <v>831190</v>
      </c>
      <c r="AC232" s="3154">
        <v>43819</v>
      </c>
      <c r="AD232" s="3154">
        <v>44372.487411145834</v>
      </c>
      <c r="AE232" s="3154">
        <v>43847.563430902774</v>
      </c>
      <c r="AF232" s="3154">
        <v>44370</v>
      </c>
      <c r="AG232" s="3154">
        <v>44372</v>
      </c>
      <c r="AH232" s="3154">
        <v>44557</v>
      </c>
      <c r="AI232" s="3154">
        <v>44571</v>
      </c>
      <c r="AJ232" s="3154">
        <v>44834</v>
      </c>
      <c r="AK232" s="3149"/>
      <c r="AL232" s="3154">
        <v>43814</v>
      </c>
      <c r="AM232" s="3149" t="s">
        <v>3416</v>
      </c>
      <c r="AN232" s="3149" t="s">
        <v>3719</v>
      </c>
      <c r="AO232" s="3149" t="s">
        <v>3540</v>
      </c>
      <c r="AP232" s="3149" t="s">
        <v>3499</v>
      </c>
      <c r="AQ232" s="3149" t="s">
        <v>3499</v>
      </c>
      <c r="AR232" s="3149" t="s">
        <v>3500</v>
      </c>
      <c r="AS232" s="3149" t="s">
        <v>3712</v>
      </c>
      <c r="AT232" s="3149"/>
    </row>
    <row r="233" spans="1:46" ht="33.75">
      <c r="A233" s="3149">
        <v>225</v>
      </c>
      <c r="B233" s="3149" t="s">
        <v>3488</v>
      </c>
      <c r="C233" s="3149" t="s">
        <v>3489</v>
      </c>
      <c r="D233" s="3149" t="s">
        <v>3490</v>
      </c>
      <c r="E233" s="3149" t="s">
        <v>3699</v>
      </c>
      <c r="F233" s="3149" t="s">
        <v>3492</v>
      </c>
      <c r="G233" s="3149" t="s">
        <v>3522</v>
      </c>
      <c r="H233" s="3149" t="s">
        <v>3494</v>
      </c>
      <c r="I233" s="3149" t="s">
        <v>114</v>
      </c>
      <c r="J233" s="3149" t="s">
        <v>3389</v>
      </c>
      <c r="K233" s="3149" t="s">
        <v>3496</v>
      </c>
      <c r="L233" s="3150">
        <v>96.65</v>
      </c>
      <c r="M233" s="3150">
        <v>77.19</v>
      </c>
      <c r="N233" s="3161">
        <v>96.65</v>
      </c>
      <c r="O233" s="3150">
        <v>77.19</v>
      </c>
      <c r="P233" s="3151">
        <v>9025</v>
      </c>
      <c r="Q233" s="3151">
        <v>11300.25</v>
      </c>
      <c r="R233" s="3151">
        <v>872266</v>
      </c>
      <c r="S233" s="3151">
        <v>10521.883099999999</v>
      </c>
      <c r="T233" s="3151">
        <v>13174.504499999999</v>
      </c>
      <c r="U233" s="3151">
        <v>1016940</v>
      </c>
      <c r="V233" s="3151">
        <v>9025</v>
      </c>
      <c r="W233" s="3151">
        <v>11300.25</v>
      </c>
      <c r="X233" s="3151">
        <v>872266</v>
      </c>
      <c r="Y233" s="3152">
        <v>872266</v>
      </c>
      <c r="Z233" s="3152">
        <v>0</v>
      </c>
      <c r="AA233" s="3153"/>
      <c r="AB233" s="3151">
        <v>872266</v>
      </c>
      <c r="AC233" s="3154">
        <v>43819</v>
      </c>
      <c r="AD233" s="3154">
        <v>44372.487411145834</v>
      </c>
      <c r="AE233" s="3154">
        <v>43847.563430902774</v>
      </c>
      <c r="AF233" s="3154">
        <v>44469</v>
      </c>
      <c r="AG233" s="3154">
        <v>44469</v>
      </c>
      <c r="AH233" s="3149"/>
      <c r="AI233" s="3149"/>
      <c r="AJ233" s="3154">
        <v>45199</v>
      </c>
      <c r="AK233" s="3149"/>
      <c r="AL233" s="3154">
        <v>43814</v>
      </c>
      <c r="AM233" s="3149" t="s">
        <v>3516</v>
      </c>
      <c r="AN233" s="3149" t="s">
        <v>3706</v>
      </c>
      <c r="AO233" s="3149" t="s">
        <v>3518</v>
      </c>
      <c r="AP233" s="3149" t="s">
        <v>3499</v>
      </c>
      <c r="AQ233" s="3149" t="s">
        <v>3499</v>
      </c>
      <c r="AR233" s="3149" t="s">
        <v>3519</v>
      </c>
      <c r="AS233" s="3149" t="s">
        <v>3520</v>
      </c>
      <c r="AT233" s="3149"/>
    </row>
    <row r="234" spans="1:46" ht="33.75">
      <c r="A234" s="3149">
        <v>226</v>
      </c>
      <c r="B234" s="3149" t="s">
        <v>3488</v>
      </c>
      <c r="C234" s="3149" t="s">
        <v>3489</v>
      </c>
      <c r="D234" s="3149" t="s">
        <v>3490</v>
      </c>
      <c r="E234" s="3149" t="s">
        <v>3699</v>
      </c>
      <c r="F234" s="3149" t="s">
        <v>3492</v>
      </c>
      <c r="G234" s="3149" t="s">
        <v>3523</v>
      </c>
      <c r="H234" s="3149" t="s">
        <v>3494</v>
      </c>
      <c r="I234" s="3149" t="s">
        <v>114</v>
      </c>
      <c r="J234" s="3149" t="s">
        <v>3389</v>
      </c>
      <c r="K234" s="3149" t="s">
        <v>3496</v>
      </c>
      <c r="L234" s="3150">
        <v>96.65</v>
      </c>
      <c r="M234" s="3150">
        <v>77.19</v>
      </c>
      <c r="N234" s="3161">
        <v>96.65</v>
      </c>
      <c r="O234" s="3150">
        <v>77.19</v>
      </c>
      <c r="P234" s="3151">
        <v>9025</v>
      </c>
      <c r="Q234" s="3151">
        <v>11300.25</v>
      </c>
      <c r="R234" s="3151">
        <v>872266</v>
      </c>
      <c r="S234" s="3151">
        <v>10521.883099999999</v>
      </c>
      <c r="T234" s="3151">
        <v>13174.504499999999</v>
      </c>
      <c r="U234" s="3151">
        <v>1016940</v>
      </c>
      <c r="V234" s="3151">
        <v>9025</v>
      </c>
      <c r="W234" s="3151">
        <v>11300.25</v>
      </c>
      <c r="X234" s="3151">
        <v>872266</v>
      </c>
      <c r="Y234" s="3152">
        <v>872266</v>
      </c>
      <c r="Z234" s="3152">
        <v>0</v>
      </c>
      <c r="AA234" s="3153"/>
      <c r="AB234" s="3151">
        <v>872266</v>
      </c>
      <c r="AC234" s="3154">
        <v>43819</v>
      </c>
      <c r="AD234" s="3154">
        <v>44372.487411145834</v>
      </c>
      <c r="AE234" s="3154">
        <v>43847.563430902774</v>
      </c>
      <c r="AF234" s="3154">
        <v>44439</v>
      </c>
      <c r="AG234" s="3154">
        <v>44530</v>
      </c>
      <c r="AH234" s="3149"/>
      <c r="AI234" s="3149"/>
      <c r="AJ234" s="3154">
        <v>45199</v>
      </c>
      <c r="AK234" s="3149"/>
      <c r="AL234" s="3154">
        <v>43814</v>
      </c>
      <c r="AM234" s="3149" t="s">
        <v>3516</v>
      </c>
      <c r="AN234" s="3149" t="s">
        <v>3720</v>
      </c>
      <c r="AO234" s="3149" t="s">
        <v>3638</v>
      </c>
      <c r="AP234" s="3149" t="s">
        <v>3499</v>
      </c>
      <c r="AQ234" s="3149" t="s">
        <v>3499</v>
      </c>
      <c r="AR234" s="3149" t="s">
        <v>3519</v>
      </c>
      <c r="AS234" s="3149" t="s">
        <v>3520</v>
      </c>
      <c r="AT234" s="3149"/>
    </row>
    <row r="235" spans="1:46" ht="33.75">
      <c r="A235" s="3149">
        <v>227</v>
      </c>
      <c r="B235" s="3149" t="s">
        <v>3488</v>
      </c>
      <c r="C235" s="3149" t="s">
        <v>3489</v>
      </c>
      <c r="D235" s="3149" t="s">
        <v>3490</v>
      </c>
      <c r="E235" s="3149" t="s">
        <v>3699</v>
      </c>
      <c r="F235" s="3149" t="s">
        <v>3492</v>
      </c>
      <c r="G235" s="3149" t="s">
        <v>3525</v>
      </c>
      <c r="H235" s="3149" t="s">
        <v>3494</v>
      </c>
      <c r="I235" s="3149" t="s">
        <v>114</v>
      </c>
      <c r="J235" s="3149" t="s">
        <v>3389</v>
      </c>
      <c r="K235" s="3149" t="s">
        <v>3496</v>
      </c>
      <c r="L235" s="3150">
        <v>132.72</v>
      </c>
      <c r="M235" s="3150">
        <v>106</v>
      </c>
      <c r="N235" s="3161">
        <v>132.72</v>
      </c>
      <c r="O235" s="3150">
        <v>106</v>
      </c>
      <c r="P235" s="3151">
        <v>8550</v>
      </c>
      <c r="Q235" s="3151">
        <v>10705.25</v>
      </c>
      <c r="R235" s="3151">
        <v>1134756</v>
      </c>
      <c r="S235" s="3151">
        <v>9968.1057999999994</v>
      </c>
      <c r="T235" s="3151">
        <v>12480.8208</v>
      </c>
      <c r="U235" s="3151">
        <v>1322967</v>
      </c>
      <c r="V235" s="3151">
        <v>8550</v>
      </c>
      <c r="W235" s="3151">
        <v>10705.25</v>
      </c>
      <c r="X235" s="3151">
        <v>1134756</v>
      </c>
      <c r="Y235" s="3152">
        <v>1134756</v>
      </c>
      <c r="Z235" s="3152">
        <v>0</v>
      </c>
      <c r="AA235" s="3153"/>
      <c r="AB235" s="3151">
        <v>1134756</v>
      </c>
      <c r="AC235" s="3154">
        <v>43819</v>
      </c>
      <c r="AD235" s="3154">
        <v>44372.487411145834</v>
      </c>
      <c r="AE235" s="3154">
        <v>43847.563430902774</v>
      </c>
      <c r="AF235" s="3154">
        <v>44557</v>
      </c>
      <c r="AG235" s="3154">
        <v>44557</v>
      </c>
      <c r="AH235" s="3149"/>
      <c r="AI235" s="3149"/>
      <c r="AJ235" s="3154">
        <v>45199</v>
      </c>
      <c r="AK235" s="3149"/>
      <c r="AL235" s="3154">
        <v>43814</v>
      </c>
      <c r="AM235" s="3149" t="s">
        <v>3516</v>
      </c>
      <c r="AN235" s="3149" t="s">
        <v>3721</v>
      </c>
      <c r="AO235" s="3149" t="s">
        <v>3504</v>
      </c>
      <c r="AP235" s="3149" t="s">
        <v>3499</v>
      </c>
      <c r="AQ235" s="3149" t="s">
        <v>3499</v>
      </c>
      <c r="AR235" s="3149" t="s">
        <v>3519</v>
      </c>
      <c r="AS235" s="3149" t="s">
        <v>3520</v>
      </c>
      <c r="AT235" s="3149"/>
    </row>
    <row r="236" spans="1:46" ht="33.75">
      <c r="A236" s="3149">
        <v>228</v>
      </c>
      <c r="B236" s="3149" t="s">
        <v>3488</v>
      </c>
      <c r="C236" s="3149" t="s">
        <v>3489</v>
      </c>
      <c r="D236" s="3149" t="s">
        <v>3490</v>
      </c>
      <c r="E236" s="3149" t="s">
        <v>3699</v>
      </c>
      <c r="F236" s="3149" t="s">
        <v>3492</v>
      </c>
      <c r="G236" s="3149" t="s">
        <v>3528</v>
      </c>
      <c r="H236" s="3149" t="s">
        <v>3494</v>
      </c>
      <c r="I236" s="3149" t="s">
        <v>114</v>
      </c>
      <c r="J236" s="3149" t="s">
        <v>3389</v>
      </c>
      <c r="K236" s="3149" t="s">
        <v>3496</v>
      </c>
      <c r="L236" s="3150">
        <v>132.72</v>
      </c>
      <c r="M236" s="3150">
        <v>106</v>
      </c>
      <c r="N236" s="3161">
        <v>132.72</v>
      </c>
      <c r="O236" s="3150">
        <v>106</v>
      </c>
      <c r="P236" s="3151">
        <v>8550</v>
      </c>
      <c r="Q236" s="3151">
        <v>10705.25</v>
      </c>
      <c r="R236" s="3151">
        <v>1134756</v>
      </c>
      <c r="S236" s="3151">
        <v>9968.1057999999994</v>
      </c>
      <c r="T236" s="3151">
        <v>12480.8208</v>
      </c>
      <c r="U236" s="3151">
        <v>1322967</v>
      </c>
      <c r="V236" s="3151">
        <v>8550</v>
      </c>
      <c r="W236" s="3151">
        <v>10705.25</v>
      </c>
      <c r="X236" s="3151">
        <v>1134756</v>
      </c>
      <c r="Y236" s="3152">
        <v>1134756</v>
      </c>
      <c r="Z236" s="3152">
        <v>0</v>
      </c>
      <c r="AA236" s="3153"/>
      <c r="AB236" s="3151">
        <v>1134756</v>
      </c>
      <c r="AC236" s="3154">
        <v>43819</v>
      </c>
      <c r="AD236" s="3154">
        <v>44372.487411145834</v>
      </c>
      <c r="AE236" s="3154">
        <v>43847.563430902774</v>
      </c>
      <c r="AF236" s="3154">
        <v>44557</v>
      </c>
      <c r="AG236" s="3154">
        <v>44557</v>
      </c>
      <c r="AH236" s="3149"/>
      <c r="AI236" s="3149"/>
      <c r="AJ236" s="3154">
        <v>45199</v>
      </c>
      <c r="AK236" s="3149"/>
      <c r="AL236" s="3154">
        <v>43814</v>
      </c>
      <c r="AM236" s="3149" t="s">
        <v>3516</v>
      </c>
      <c r="AN236" s="3149" t="s">
        <v>3722</v>
      </c>
      <c r="AO236" s="3149" t="s">
        <v>3504</v>
      </c>
      <c r="AP236" s="3149" t="s">
        <v>3499</v>
      </c>
      <c r="AQ236" s="3149" t="s">
        <v>3499</v>
      </c>
      <c r="AR236" s="3149" t="s">
        <v>3519</v>
      </c>
      <c r="AS236" s="3149" t="s">
        <v>3520</v>
      </c>
      <c r="AT236" s="3149"/>
    </row>
    <row r="237" spans="1:46" ht="33.75">
      <c r="A237" s="3149">
        <v>229</v>
      </c>
      <c r="B237" s="3149" t="s">
        <v>3488</v>
      </c>
      <c r="C237" s="3149" t="s">
        <v>3489</v>
      </c>
      <c r="D237" s="3149" t="s">
        <v>3490</v>
      </c>
      <c r="E237" s="3149" t="s">
        <v>3699</v>
      </c>
      <c r="F237" s="3149" t="s">
        <v>3538</v>
      </c>
      <c r="G237" s="3149" t="s">
        <v>3493</v>
      </c>
      <c r="H237" s="3149" t="s">
        <v>3494</v>
      </c>
      <c r="I237" s="3149" t="s">
        <v>114</v>
      </c>
      <c r="J237" s="3149" t="s">
        <v>3389</v>
      </c>
      <c r="K237" s="3149" t="s">
        <v>3496</v>
      </c>
      <c r="L237" s="3150">
        <v>96.65</v>
      </c>
      <c r="M237" s="3150">
        <v>77.19</v>
      </c>
      <c r="N237" s="3161">
        <v>96.65</v>
      </c>
      <c r="O237" s="3150">
        <v>77.19</v>
      </c>
      <c r="P237" s="3151">
        <v>12780.19</v>
      </c>
      <c r="Q237" s="3151">
        <v>16002.14</v>
      </c>
      <c r="R237" s="3151">
        <v>1235205</v>
      </c>
      <c r="S237" s="3151">
        <v>14496.471799999999</v>
      </c>
      <c r="T237" s="3151">
        <v>18151.1077</v>
      </c>
      <c r="U237" s="3151">
        <v>1401084</v>
      </c>
      <c r="V237" s="3151">
        <v>13419.98</v>
      </c>
      <c r="W237" s="3151">
        <v>16803.23</v>
      </c>
      <c r="X237" s="3151">
        <v>1297041</v>
      </c>
      <c r="Y237" s="3152">
        <v>1297041</v>
      </c>
      <c r="Z237" s="3152">
        <v>0</v>
      </c>
      <c r="AA237" s="3153"/>
      <c r="AB237" s="3151">
        <v>1297041</v>
      </c>
      <c r="AC237" s="3154">
        <v>43819</v>
      </c>
      <c r="AD237" s="3154">
        <v>43941.696851817127</v>
      </c>
      <c r="AE237" s="3154">
        <v>43847.563430902774</v>
      </c>
      <c r="AF237" s="3154">
        <v>44141</v>
      </c>
      <c r="AG237" s="3154">
        <v>44141</v>
      </c>
      <c r="AH237" s="3154">
        <v>44155</v>
      </c>
      <c r="AI237" s="3154">
        <v>44160</v>
      </c>
      <c r="AJ237" s="3154">
        <v>44834</v>
      </c>
      <c r="AK237" s="3149"/>
      <c r="AL237" s="3154">
        <v>43814</v>
      </c>
      <c r="AM237" s="3149" t="s">
        <v>3416</v>
      </c>
      <c r="AN237" s="3149" t="s">
        <v>3723</v>
      </c>
      <c r="AO237" s="3149" t="s">
        <v>3724</v>
      </c>
      <c r="AP237" s="3149"/>
      <c r="AQ237" s="3149"/>
      <c r="AR237" s="3149" t="s">
        <v>3500</v>
      </c>
      <c r="AS237" s="3149" t="s">
        <v>3712</v>
      </c>
      <c r="AT237" s="3149"/>
    </row>
    <row r="238" spans="1:46" ht="33.75">
      <c r="A238" s="3149">
        <v>230</v>
      </c>
      <c r="B238" s="3149" t="s">
        <v>3488</v>
      </c>
      <c r="C238" s="3149" t="s">
        <v>3489</v>
      </c>
      <c r="D238" s="3149" t="s">
        <v>3490</v>
      </c>
      <c r="E238" s="3149" t="s">
        <v>3699</v>
      </c>
      <c r="F238" s="3149" t="s">
        <v>3538</v>
      </c>
      <c r="G238" s="3149" t="s">
        <v>3502</v>
      </c>
      <c r="H238" s="3149" t="s">
        <v>3494</v>
      </c>
      <c r="I238" s="3149" t="s">
        <v>114</v>
      </c>
      <c r="J238" s="3149" t="s">
        <v>3389</v>
      </c>
      <c r="K238" s="3149" t="s">
        <v>3496</v>
      </c>
      <c r="L238" s="3150">
        <v>96.65</v>
      </c>
      <c r="M238" s="3150">
        <v>77.19</v>
      </c>
      <c r="N238" s="3161">
        <v>96.65</v>
      </c>
      <c r="O238" s="3150">
        <v>77.19</v>
      </c>
      <c r="P238" s="3151">
        <v>12673.67</v>
      </c>
      <c r="Q238" s="3151">
        <v>15868.77</v>
      </c>
      <c r="R238" s="3151">
        <v>1224910</v>
      </c>
      <c r="S238" s="3151">
        <v>14384.345600000001</v>
      </c>
      <c r="T238" s="3151">
        <v>18010.713800000001</v>
      </c>
      <c r="U238" s="3151">
        <v>1390247</v>
      </c>
      <c r="V238" s="3151">
        <v>13173.67</v>
      </c>
      <c r="W238" s="3151">
        <v>16494.82</v>
      </c>
      <c r="X238" s="3151">
        <v>1273235</v>
      </c>
      <c r="Y238" s="3152">
        <v>1273235</v>
      </c>
      <c r="Z238" s="3152">
        <v>0</v>
      </c>
      <c r="AA238" s="3153"/>
      <c r="AB238" s="3151">
        <v>1273235</v>
      </c>
      <c r="AC238" s="3154">
        <v>43819</v>
      </c>
      <c r="AD238" s="3154">
        <v>43941.696851817127</v>
      </c>
      <c r="AE238" s="3154">
        <v>43847.563430902774</v>
      </c>
      <c r="AF238" s="3154">
        <v>43949</v>
      </c>
      <c r="AG238" s="3154">
        <v>43950</v>
      </c>
      <c r="AH238" s="3154">
        <v>43987</v>
      </c>
      <c r="AI238" s="3154">
        <v>43991</v>
      </c>
      <c r="AJ238" s="3154">
        <v>44834</v>
      </c>
      <c r="AK238" s="3149"/>
      <c r="AL238" s="3154">
        <v>43814</v>
      </c>
      <c r="AM238" s="3149" t="s">
        <v>3416</v>
      </c>
      <c r="AN238" s="3149" t="s">
        <v>3725</v>
      </c>
      <c r="AO238" s="3149" t="s">
        <v>3591</v>
      </c>
      <c r="AP238" s="3149" t="s">
        <v>3499</v>
      </c>
      <c r="AQ238" s="3149" t="s">
        <v>3499</v>
      </c>
      <c r="AR238" s="3149"/>
      <c r="AS238" s="3149"/>
      <c r="AT238" s="3149"/>
    </row>
    <row r="239" spans="1:46" ht="33.75">
      <c r="A239" s="3149">
        <v>231</v>
      </c>
      <c r="B239" s="3149" t="s">
        <v>3488</v>
      </c>
      <c r="C239" s="3149" t="s">
        <v>3489</v>
      </c>
      <c r="D239" s="3149" t="s">
        <v>3490</v>
      </c>
      <c r="E239" s="3149" t="s">
        <v>3699</v>
      </c>
      <c r="F239" s="3149" t="s">
        <v>3538</v>
      </c>
      <c r="G239" s="3149" t="s">
        <v>3508</v>
      </c>
      <c r="H239" s="3149" t="s">
        <v>3494</v>
      </c>
      <c r="I239" s="3149" t="s">
        <v>114</v>
      </c>
      <c r="J239" s="3149" t="s">
        <v>3389</v>
      </c>
      <c r="K239" s="3149" t="s">
        <v>3496</v>
      </c>
      <c r="L239" s="3150">
        <v>96.65</v>
      </c>
      <c r="M239" s="3150">
        <v>77.19</v>
      </c>
      <c r="N239" s="3161">
        <v>96.65</v>
      </c>
      <c r="O239" s="3150">
        <v>77.19</v>
      </c>
      <c r="P239" s="3151">
        <v>8740</v>
      </c>
      <c r="Q239" s="3151">
        <v>10943.4</v>
      </c>
      <c r="R239" s="3151">
        <v>844721</v>
      </c>
      <c r="S239" s="3151">
        <v>10189.622300000001</v>
      </c>
      <c r="T239" s="3151">
        <v>12758.4791</v>
      </c>
      <c r="U239" s="3151">
        <v>984827</v>
      </c>
      <c r="V239" s="3151">
        <v>8740.01</v>
      </c>
      <c r="W239" s="3151">
        <v>10943.41</v>
      </c>
      <c r="X239" s="3151">
        <v>844722</v>
      </c>
      <c r="Y239" s="3152">
        <v>844722</v>
      </c>
      <c r="Z239" s="3152">
        <v>0</v>
      </c>
      <c r="AA239" s="3153"/>
      <c r="AB239" s="3151">
        <v>844722</v>
      </c>
      <c r="AC239" s="3154">
        <v>43819</v>
      </c>
      <c r="AD239" s="3154">
        <v>44372.487411145834</v>
      </c>
      <c r="AE239" s="3154">
        <v>43847.563430902774</v>
      </c>
      <c r="AF239" s="3154">
        <v>44439</v>
      </c>
      <c r="AG239" s="3154">
        <v>44530</v>
      </c>
      <c r="AH239" s="3149"/>
      <c r="AI239" s="3149"/>
      <c r="AJ239" s="3154">
        <v>45199</v>
      </c>
      <c r="AK239" s="3149"/>
      <c r="AL239" s="3154">
        <v>43814</v>
      </c>
      <c r="AM239" s="3149" t="s">
        <v>3516</v>
      </c>
      <c r="AN239" s="3149" t="s">
        <v>3720</v>
      </c>
      <c r="AO239" s="3149" t="s">
        <v>3638</v>
      </c>
      <c r="AP239" s="3149" t="s">
        <v>3499</v>
      </c>
      <c r="AQ239" s="3149" t="s">
        <v>3499</v>
      </c>
      <c r="AR239" s="3149" t="s">
        <v>3519</v>
      </c>
      <c r="AS239" s="3149" t="s">
        <v>3520</v>
      </c>
      <c r="AT239" s="3149"/>
    </row>
    <row r="240" spans="1:46" ht="33.75">
      <c r="A240" s="3149">
        <v>232</v>
      </c>
      <c r="B240" s="3149" t="s">
        <v>3488</v>
      </c>
      <c r="C240" s="3149" t="s">
        <v>3489</v>
      </c>
      <c r="D240" s="3149" t="s">
        <v>3490</v>
      </c>
      <c r="E240" s="3149" t="s">
        <v>3699</v>
      </c>
      <c r="F240" s="3149" t="s">
        <v>3538</v>
      </c>
      <c r="G240" s="3149" t="s">
        <v>3510</v>
      </c>
      <c r="H240" s="3149" t="s">
        <v>3494</v>
      </c>
      <c r="I240" s="3149" t="s">
        <v>114</v>
      </c>
      <c r="J240" s="3149" t="s">
        <v>3389</v>
      </c>
      <c r="K240" s="3149" t="s">
        <v>3496</v>
      </c>
      <c r="L240" s="3150">
        <v>96.65</v>
      </c>
      <c r="M240" s="3150">
        <v>77.19</v>
      </c>
      <c r="N240" s="3161">
        <v>96.65</v>
      </c>
      <c r="O240" s="3150">
        <v>77.19</v>
      </c>
      <c r="P240" s="3151">
        <v>10200</v>
      </c>
      <c r="Q240" s="3151">
        <v>12771.47</v>
      </c>
      <c r="R240" s="3151">
        <v>985830</v>
      </c>
      <c r="S240" s="3151">
        <v>10200</v>
      </c>
      <c r="T240" s="3151">
        <v>12771.473</v>
      </c>
      <c r="U240" s="3151">
        <v>985830</v>
      </c>
      <c r="V240" s="3151">
        <v>10200</v>
      </c>
      <c r="W240" s="3151">
        <v>12771.47</v>
      </c>
      <c r="X240" s="3151">
        <v>985830</v>
      </c>
      <c r="Y240" s="3152">
        <v>985830</v>
      </c>
      <c r="Z240" s="3152">
        <v>0</v>
      </c>
      <c r="AA240" s="3153"/>
      <c r="AB240" s="3151">
        <v>985830</v>
      </c>
      <c r="AC240" s="3154">
        <v>43819</v>
      </c>
      <c r="AD240" s="3154">
        <v>43995.37337202546</v>
      </c>
      <c r="AE240" s="3154">
        <v>43847.563430902774</v>
      </c>
      <c r="AF240" s="3154">
        <v>44009</v>
      </c>
      <c r="AG240" s="3154">
        <v>44009</v>
      </c>
      <c r="AH240" s="3154">
        <v>44029</v>
      </c>
      <c r="AI240" s="3154">
        <v>44049</v>
      </c>
      <c r="AJ240" s="3154">
        <v>44834</v>
      </c>
      <c r="AK240" s="3149"/>
      <c r="AL240" s="3154">
        <v>43814</v>
      </c>
      <c r="AM240" s="3149" t="s">
        <v>3416</v>
      </c>
      <c r="AN240" s="3149" t="s">
        <v>3726</v>
      </c>
      <c r="AO240" s="3149" t="s">
        <v>3504</v>
      </c>
      <c r="AP240" s="3149" t="s">
        <v>3499</v>
      </c>
      <c r="AQ240" s="3149" t="s">
        <v>3499</v>
      </c>
      <c r="AR240" s="3149" t="s">
        <v>3505</v>
      </c>
      <c r="AS240" s="3149" t="s">
        <v>3506</v>
      </c>
      <c r="AT240" s="3149" t="s">
        <v>3507</v>
      </c>
    </row>
    <row r="241" spans="1:46" ht="33.75">
      <c r="A241" s="3149">
        <v>233</v>
      </c>
      <c r="B241" s="3149" t="s">
        <v>3488</v>
      </c>
      <c r="C241" s="3149" t="s">
        <v>3489</v>
      </c>
      <c r="D241" s="3149" t="s">
        <v>3490</v>
      </c>
      <c r="E241" s="3149" t="s">
        <v>3699</v>
      </c>
      <c r="F241" s="3149" t="s">
        <v>3538</v>
      </c>
      <c r="G241" s="3149" t="s">
        <v>3511</v>
      </c>
      <c r="H241" s="3149" t="s">
        <v>3494</v>
      </c>
      <c r="I241" s="3149" t="s">
        <v>114</v>
      </c>
      <c r="J241" s="3149" t="s">
        <v>3389</v>
      </c>
      <c r="K241" s="3149" t="s">
        <v>3496</v>
      </c>
      <c r="L241" s="3150">
        <v>96.65</v>
      </c>
      <c r="M241" s="3150">
        <v>77.19</v>
      </c>
      <c r="N241" s="3161">
        <v>96.65</v>
      </c>
      <c r="O241" s="3150">
        <v>77.19</v>
      </c>
      <c r="P241" s="3151">
        <v>8300</v>
      </c>
      <c r="Q241" s="3151">
        <v>10392.469999999999</v>
      </c>
      <c r="R241" s="3151">
        <v>802195</v>
      </c>
      <c r="S241" s="3151">
        <v>9676.6373999999996</v>
      </c>
      <c r="T241" s="3151">
        <v>12116.1679</v>
      </c>
      <c r="U241" s="3151">
        <v>935247</v>
      </c>
      <c r="V241" s="3151">
        <v>8300</v>
      </c>
      <c r="W241" s="3151">
        <v>10392.469999999999</v>
      </c>
      <c r="X241" s="3151">
        <v>802195</v>
      </c>
      <c r="Y241" s="3152">
        <v>802195</v>
      </c>
      <c r="Z241" s="3152">
        <v>0</v>
      </c>
      <c r="AA241" s="3153"/>
      <c r="AB241" s="3151">
        <v>802195</v>
      </c>
      <c r="AC241" s="3154">
        <v>43819</v>
      </c>
      <c r="AD241" s="3154">
        <v>44372.487411145834</v>
      </c>
      <c r="AE241" s="3154">
        <v>43847.563430902774</v>
      </c>
      <c r="AF241" s="3154">
        <v>44379</v>
      </c>
      <c r="AG241" s="3154">
        <v>44391</v>
      </c>
      <c r="AH241" s="3149"/>
      <c r="AI241" s="3149"/>
      <c r="AJ241" s="3154">
        <v>45199</v>
      </c>
      <c r="AK241" s="3149"/>
      <c r="AL241" s="3154">
        <v>43814</v>
      </c>
      <c r="AM241" s="3149" t="s">
        <v>3516</v>
      </c>
      <c r="AN241" s="3149" t="s">
        <v>3727</v>
      </c>
      <c r="AO241" s="3149" t="s">
        <v>3498</v>
      </c>
      <c r="AP241" s="3149" t="s">
        <v>3499</v>
      </c>
      <c r="AQ241" s="3149" t="s">
        <v>3499</v>
      </c>
      <c r="AR241" s="3149" t="s">
        <v>3519</v>
      </c>
      <c r="AS241" s="3149" t="s">
        <v>3520</v>
      </c>
      <c r="AT241" s="3149"/>
    </row>
    <row r="242" spans="1:46" ht="33.75">
      <c r="A242" s="3149">
        <v>234</v>
      </c>
      <c r="B242" s="3149" t="s">
        <v>3488</v>
      </c>
      <c r="C242" s="3149" t="s">
        <v>3489</v>
      </c>
      <c r="D242" s="3149" t="s">
        <v>3490</v>
      </c>
      <c r="E242" s="3149" t="s">
        <v>3699</v>
      </c>
      <c r="F242" s="3149" t="s">
        <v>3538</v>
      </c>
      <c r="G242" s="3149" t="s">
        <v>3512</v>
      </c>
      <c r="H242" s="3149" t="s">
        <v>3494</v>
      </c>
      <c r="I242" s="3149" t="s">
        <v>114</v>
      </c>
      <c r="J242" s="3149" t="s">
        <v>3389</v>
      </c>
      <c r="K242" s="3149" t="s">
        <v>3496</v>
      </c>
      <c r="L242" s="3150">
        <v>96.65</v>
      </c>
      <c r="M242" s="3150">
        <v>77.19</v>
      </c>
      <c r="N242" s="3161">
        <v>96.65</v>
      </c>
      <c r="O242" s="3150">
        <v>77.19</v>
      </c>
      <c r="P242" s="3151">
        <v>9225.01</v>
      </c>
      <c r="Q242" s="3151">
        <v>11550.68</v>
      </c>
      <c r="R242" s="3151">
        <v>891597</v>
      </c>
      <c r="S242" s="3151">
        <v>10755.075000000001</v>
      </c>
      <c r="T242" s="3151">
        <v>13466.4853</v>
      </c>
      <c r="U242" s="3151">
        <v>1039478</v>
      </c>
      <c r="V242" s="3151">
        <v>9225.02</v>
      </c>
      <c r="W242" s="3151">
        <v>11550.69</v>
      </c>
      <c r="X242" s="3151">
        <v>891598</v>
      </c>
      <c r="Y242" s="3152">
        <v>891598</v>
      </c>
      <c r="Z242" s="3152">
        <v>0</v>
      </c>
      <c r="AA242" s="3153"/>
      <c r="AB242" s="3151">
        <v>891598</v>
      </c>
      <c r="AC242" s="3154">
        <v>43819</v>
      </c>
      <c r="AD242" s="3154">
        <v>44538.684577083332</v>
      </c>
      <c r="AE242" s="3154">
        <v>43847.563430902774</v>
      </c>
      <c r="AF242" s="3154">
        <v>44554</v>
      </c>
      <c r="AG242" s="3154">
        <v>44554</v>
      </c>
      <c r="AH242" s="3149"/>
      <c r="AI242" s="3149"/>
      <c r="AJ242" s="3154">
        <v>45199</v>
      </c>
      <c r="AK242" s="3149"/>
      <c r="AL242" s="3154">
        <v>43814</v>
      </c>
      <c r="AM242" s="3149" t="s">
        <v>3516</v>
      </c>
      <c r="AN242" s="3149" t="s">
        <v>3716</v>
      </c>
      <c r="AO242" s="3149" t="s">
        <v>3498</v>
      </c>
      <c r="AP242" s="3149" t="s">
        <v>3499</v>
      </c>
      <c r="AQ242" s="3149" t="s">
        <v>3499</v>
      </c>
      <c r="AR242" s="3149" t="s">
        <v>3519</v>
      </c>
      <c r="AS242" s="3149" t="s">
        <v>3520</v>
      </c>
      <c r="AT242" s="3149"/>
    </row>
    <row r="243" spans="1:46" ht="33.75">
      <c r="A243" s="3149">
        <v>235</v>
      </c>
      <c r="B243" s="3149" t="s">
        <v>3488</v>
      </c>
      <c r="C243" s="3149" t="s">
        <v>3489</v>
      </c>
      <c r="D243" s="3149" t="s">
        <v>3490</v>
      </c>
      <c r="E243" s="3149" t="s">
        <v>3699</v>
      </c>
      <c r="F243" s="3149" t="s">
        <v>3538</v>
      </c>
      <c r="G243" s="3149" t="s">
        <v>3513</v>
      </c>
      <c r="H243" s="3149" t="s">
        <v>3509</v>
      </c>
      <c r="I243" s="3149" t="s">
        <v>114</v>
      </c>
      <c r="J243" s="3149" t="s">
        <v>3389</v>
      </c>
      <c r="K243" s="3149" t="s">
        <v>3496</v>
      </c>
      <c r="L243" s="3150">
        <v>96.65</v>
      </c>
      <c r="M243" s="3150">
        <v>77.19</v>
      </c>
      <c r="N243" s="3161">
        <v>96.65</v>
      </c>
      <c r="O243" s="3150">
        <v>77.19</v>
      </c>
      <c r="P243" s="3151">
        <v>5400</v>
      </c>
      <c r="Q243" s="3151">
        <v>6761.37</v>
      </c>
      <c r="R243" s="3151">
        <v>521910</v>
      </c>
      <c r="S243" s="3151">
        <v>5400</v>
      </c>
      <c r="T243" s="3151">
        <v>6761.3680999999997</v>
      </c>
      <c r="U243" s="3151">
        <v>521910</v>
      </c>
      <c r="V243" s="3153"/>
      <c r="W243" s="3153"/>
      <c r="X243" s="3153"/>
      <c r="Y243" s="3153"/>
      <c r="Z243" s="3152">
        <v>0</v>
      </c>
      <c r="AA243" s="3153"/>
      <c r="AB243" s="3151">
        <v>0</v>
      </c>
      <c r="AC243" s="3154">
        <v>43819</v>
      </c>
      <c r="AD243" s="3154">
        <v>45264.773614039354</v>
      </c>
      <c r="AE243" s="3154">
        <v>43847.563430902774</v>
      </c>
      <c r="AF243" s="3149"/>
      <c r="AG243" s="3149"/>
      <c r="AH243" s="3149"/>
      <c r="AI243" s="3149"/>
      <c r="AJ243" s="3149"/>
      <c r="AK243" s="3149"/>
      <c r="AL243" s="3154">
        <v>43814</v>
      </c>
      <c r="AM243" s="3149"/>
      <c r="AN243" s="3149"/>
      <c r="AO243" s="3149"/>
      <c r="AP243" s="3149"/>
      <c r="AQ243" s="3149"/>
      <c r="AR243" s="3149"/>
      <c r="AS243" s="3149"/>
      <c r="AT243" s="3149"/>
    </row>
    <row r="244" spans="1:46" ht="33.75">
      <c r="A244" s="3149">
        <v>236</v>
      </c>
      <c r="B244" s="3149" t="s">
        <v>3488</v>
      </c>
      <c r="C244" s="3149" t="s">
        <v>3489</v>
      </c>
      <c r="D244" s="3149" t="s">
        <v>3490</v>
      </c>
      <c r="E244" s="3149" t="s">
        <v>3699</v>
      </c>
      <c r="F244" s="3149" t="s">
        <v>3538</v>
      </c>
      <c r="G244" s="3149" t="s">
        <v>3514</v>
      </c>
      <c r="H244" s="3149" t="s">
        <v>3509</v>
      </c>
      <c r="I244" s="3149" t="s">
        <v>114</v>
      </c>
      <c r="J244" s="3149" t="s">
        <v>3389</v>
      </c>
      <c r="K244" s="3149" t="s">
        <v>3496</v>
      </c>
      <c r="L244" s="3150">
        <v>96.65</v>
      </c>
      <c r="M244" s="3150">
        <v>77.19</v>
      </c>
      <c r="N244" s="3161">
        <v>96.65</v>
      </c>
      <c r="O244" s="3150">
        <v>77.19</v>
      </c>
      <c r="P244" s="3151">
        <v>5400</v>
      </c>
      <c r="Q244" s="3151">
        <v>6761.37</v>
      </c>
      <c r="R244" s="3151">
        <v>521910</v>
      </c>
      <c r="S244" s="3151">
        <v>5400</v>
      </c>
      <c r="T244" s="3151">
        <v>6761.3680999999997</v>
      </c>
      <c r="U244" s="3151">
        <v>521910</v>
      </c>
      <c r="V244" s="3153"/>
      <c r="W244" s="3153"/>
      <c r="X244" s="3153"/>
      <c r="Y244" s="3153"/>
      <c r="Z244" s="3152">
        <v>0</v>
      </c>
      <c r="AA244" s="3153"/>
      <c r="AB244" s="3151">
        <v>0</v>
      </c>
      <c r="AC244" s="3154">
        <v>43819</v>
      </c>
      <c r="AD244" s="3154">
        <v>45264.773614039354</v>
      </c>
      <c r="AE244" s="3154">
        <v>43847.563430902774</v>
      </c>
      <c r="AF244" s="3149"/>
      <c r="AG244" s="3149"/>
      <c r="AH244" s="3149"/>
      <c r="AI244" s="3149"/>
      <c r="AJ244" s="3149"/>
      <c r="AK244" s="3149"/>
      <c r="AL244" s="3154">
        <v>43814</v>
      </c>
      <c r="AM244" s="3149"/>
      <c r="AN244" s="3149"/>
      <c r="AO244" s="3149"/>
      <c r="AP244" s="3149"/>
      <c r="AQ244" s="3149"/>
      <c r="AR244" s="3149"/>
      <c r="AS244" s="3149"/>
      <c r="AT244" s="3149"/>
    </row>
    <row r="245" spans="1:46" ht="33.75">
      <c r="A245" s="3149">
        <v>237</v>
      </c>
      <c r="B245" s="3149" t="s">
        <v>3488</v>
      </c>
      <c r="C245" s="3149" t="s">
        <v>3489</v>
      </c>
      <c r="D245" s="3149" t="s">
        <v>3490</v>
      </c>
      <c r="E245" s="3149" t="s">
        <v>3699</v>
      </c>
      <c r="F245" s="3149" t="s">
        <v>3538</v>
      </c>
      <c r="G245" s="3149" t="s">
        <v>3515</v>
      </c>
      <c r="H245" s="3149" t="s">
        <v>3509</v>
      </c>
      <c r="I245" s="3149" t="s">
        <v>114</v>
      </c>
      <c r="J245" s="3149" t="s">
        <v>3389</v>
      </c>
      <c r="K245" s="3149" t="s">
        <v>3496</v>
      </c>
      <c r="L245" s="3150">
        <v>96.65</v>
      </c>
      <c r="M245" s="3150">
        <v>77.19</v>
      </c>
      <c r="N245" s="3161">
        <v>96.65</v>
      </c>
      <c r="O245" s="3150">
        <v>77.19</v>
      </c>
      <c r="P245" s="3151">
        <v>5500</v>
      </c>
      <c r="Q245" s="3151">
        <v>6886.58</v>
      </c>
      <c r="R245" s="3151">
        <v>531575</v>
      </c>
      <c r="S245" s="3151">
        <v>5500</v>
      </c>
      <c r="T245" s="3151">
        <v>6886.5785999999998</v>
      </c>
      <c r="U245" s="3151">
        <v>531575</v>
      </c>
      <c r="V245" s="3153"/>
      <c r="W245" s="3153"/>
      <c r="X245" s="3153"/>
      <c r="Y245" s="3153"/>
      <c r="Z245" s="3152">
        <v>0</v>
      </c>
      <c r="AA245" s="3153"/>
      <c r="AB245" s="3151">
        <v>0</v>
      </c>
      <c r="AC245" s="3154">
        <v>43819</v>
      </c>
      <c r="AD245" s="3154">
        <v>45264.773614039354</v>
      </c>
      <c r="AE245" s="3154">
        <v>43847.563430902774</v>
      </c>
      <c r="AF245" s="3149"/>
      <c r="AG245" s="3149"/>
      <c r="AH245" s="3149"/>
      <c r="AI245" s="3149"/>
      <c r="AJ245" s="3149"/>
      <c r="AK245" s="3149"/>
      <c r="AL245" s="3154">
        <v>43814</v>
      </c>
      <c r="AM245" s="3149"/>
      <c r="AN245" s="3149"/>
      <c r="AO245" s="3149"/>
      <c r="AP245" s="3149"/>
      <c r="AQ245" s="3149"/>
      <c r="AR245" s="3149"/>
      <c r="AS245" s="3149"/>
      <c r="AT245" s="3149"/>
    </row>
    <row r="246" spans="1:46" ht="33.75">
      <c r="A246" s="3149">
        <v>238</v>
      </c>
      <c r="B246" s="3149" t="s">
        <v>3488</v>
      </c>
      <c r="C246" s="3149" t="s">
        <v>3489</v>
      </c>
      <c r="D246" s="3149" t="s">
        <v>3490</v>
      </c>
      <c r="E246" s="3149" t="s">
        <v>3699</v>
      </c>
      <c r="F246" s="3149" t="s">
        <v>3538</v>
      </c>
      <c r="G246" s="3149" t="s">
        <v>3521</v>
      </c>
      <c r="H246" s="3149" t="s">
        <v>3494</v>
      </c>
      <c r="I246" s="3149" t="s">
        <v>114</v>
      </c>
      <c r="J246" s="3149" t="s">
        <v>3389</v>
      </c>
      <c r="K246" s="3149" t="s">
        <v>3496</v>
      </c>
      <c r="L246" s="3150">
        <v>96.65</v>
      </c>
      <c r="M246" s="3150">
        <v>77.19</v>
      </c>
      <c r="N246" s="3161">
        <v>96.65</v>
      </c>
      <c r="O246" s="3150">
        <v>77.19</v>
      </c>
      <c r="P246" s="3151">
        <v>9400</v>
      </c>
      <c r="Q246" s="3151">
        <v>11769.79</v>
      </c>
      <c r="R246" s="3151">
        <v>908510</v>
      </c>
      <c r="S246" s="3151">
        <v>10411.133</v>
      </c>
      <c r="T246" s="3151">
        <v>13035.833699999999</v>
      </c>
      <c r="U246" s="3151">
        <v>1006236</v>
      </c>
      <c r="V246" s="3151">
        <v>9400</v>
      </c>
      <c r="W246" s="3151">
        <v>11769.79</v>
      </c>
      <c r="X246" s="3151">
        <v>908510</v>
      </c>
      <c r="Y246" s="3152">
        <v>908510</v>
      </c>
      <c r="Z246" s="3152">
        <v>0</v>
      </c>
      <c r="AA246" s="3153"/>
      <c r="AB246" s="3151">
        <v>908510</v>
      </c>
      <c r="AC246" s="3154">
        <v>43819</v>
      </c>
      <c r="AD246" s="3154">
        <v>44269.483404594903</v>
      </c>
      <c r="AE246" s="3154">
        <v>43847.563430902774</v>
      </c>
      <c r="AF246" s="3154">
        <v>44306</v>
      </c>
      <c r="AG246" s="3154">
        <v>44308</v>
      </c>
      <c r="AH246" s="3154">
        <v>44325</v>
      </c>
      <c r="AI246" s="3154">
        <v>44334</v>
      </c>
      <c r="AJ246" s="3154">
        <v>44834</v>
      </c>
      <c r="AK246" s="3149"/>
      <c r="AL246" s="3154">
        <v>43814</v>
      </c>
      <c r="AM246" s="3149" t="s">
        <v>3416</v>
      </c>
      <c r="AN246" s="3149" t="s">
        <v>3728</v>
      </c>
      <c r="AO246" s="3149" t="s">
        <v>3581</v>
      </c>
      <c r="AP246" s="3149" t="s">
        <v>3499</v>
      </c>
      <c r="AQ246" s="3149" t="s">
        <v>3499</v>
      </c>
      <c r="AR246" s="3149" t="s">
        <v>3500</v>
      </c>
      <c r="AS246" s="3149" t="s">
        <v>3501</v>
      </c>
      <c r="AT246" s="3149"/>
    </row>
    <row r="247" spans="1:46" ht="33.75">
      <c r="A247" s="3149">
        <v>239</v>
      </c>
      <c r="B247" s="3149" t="s">
        <v>3488</v>
      </c>
      <c r="C247" s="3149" t="s">
        <v>3489</v>
      </c>
      <c r="D247" s="3149" t="s">
        <v>3490</v>
      </c>
      <c r="E247" s="3149" t="s">
        <v>3699</v>
      </c>
      <c r="F247" s="3149" t="s">
        <v>3538</v>
      </c>
      <c r="G247" s="3149" t="s">
        <v>3522</v>
      </c>
      <c r="H247" s="3149" t="s">
        <v>3494</v>
      </c>
      <c r="I247" s="3149" t="s">
        <v>114</v>
      </c>
      <c r="J247" s="3149" t="s">
        <v>3389</v>
      </c>
      <c r="K247" s="3149" t="s">
        <v>3496</v>
      </c>
      <c r="L247" s="3150">
        <v>96.65</v>
      </c>
      <c r="M247" s="3150">
        <v>77.19</v>
      </c>
      <c r="N247" s="3161">
        <v>96.65</v>
      </c>
      <c r="O247" s="3150">
        <v>77.19</v>
      </c>
      <c r="P247" s="3151">
        <v>9500</v>
      </c>
      <c r="Q247" s="3151">
        <v>11895</v>
      </c>
      <c r="R247" s="3151">
        <v>918175</v>
      </c>
      <c r="S247" s="3151">
        <v>10521.893400000001</v>
      </c>
      <c r="T247" s="3151">
        <v>13174.517400000001</v>
      </c>
      <c r="U247" s="3151">
        <v>1016941</v>
      </c>
      <c r="V247" s="3151">
        <v>9595.9599999999991</v>
      </c>
      <c r="W247" s="3151">
        <v>12015.16</v>
      </c>
      <c r="X247" s="3151">
        <v>927450</v>
      </c>
      <c r="Y247" s="3152">
        <v>927450</v>
      </c>
      <c r="Z247" s="3152">
        <v>0</v>
      </c>
      <c r="AA247" s="3153"/>
      <c r="AB247" s="3151">
        <v>927450</v>
      </c>
      <c r="AC247" s="3154">
        <v>43819</v>
      </c>
      <c r="AD247" s="3154">
        <v>44269.483404594903</v>
      </c>
      <c r="AE247" s="3154">
        <v>43847.563430902774</v>
      </c>
      <c r="AF247" s="3154">
        <v>44334</v>
      </c>
      <c r="AG247" s="3154">
        <v>44334</v>
      </c>
      <c r="AH247" s="3154">
        <v>44368</v>
      </c>
      <c r="AI247" s="3149"/>
      <c r="AJ247" s="3154">
        <v>44834</v>
      </c>
      <c r="AK247" s="3149"/>
      <c r="AL247" s="3154">
        <v>43814</v>
      </c>
      <c r="AM247" s="3149" t="s">
        <v>3416</v>
      </c>
      <c r="AN247" s="3149" t="s">
        <v>3729</v>
      </c>
      <c r="AO247" s="3149" t="s">
        <v>3498</v>
      </c>
      <c r="AP247" s="3149" t="s">
        <v>3499</v>
      </c>
      <c r="AQ247" s="3149" t="s">
        <v>3499</v>
      </c>
      <c r="AR247" s="3149" t="s">
        <v>3566</v>
      </c>
      <c r="AS247" s="3149" t="s">
        <v>3730</v>
      </c>
      <c r="AT247" s="3149"/>
    </row>
    <row r="248" spans="1:46" ht="33.75">
      <c r="A248" s="3149">
        <v>240</v>
      </c>
      <c r="B248" s="3149" t="s">
        <v>3488</v>
      </c>
      <c r="C248" s="3149" t="s">
        <v>3489</v>
      </c>
      <c r="D248" s="3149" t="s">
        <v>3490</v>
      </c>
      <c r="E248" s="3149" t="s">
        <v>3699</v>
      </c>
      <c r="F248" s="3149" t="s">
        <v>3538</v>
      </c>
      <c r="G248" s="3149" t="s">
        <v>3523</v>
      </c>
      <c r="H248" s="3149" t="s">
        <v>3494</v>
      </c>
      <c r="I248" s="3149" t="s">
        <v>114</v>
      </c>
      <c r="J248" s="3149" t="s">
        <v>3389</v>
      </c>
      <c r="K248" s="3149" t="s">
        <v>3496</v>
      </c>
      <c r="L248" s="3150">
        <v>96.65</v>
      </c>
      <c r="M248" s="3150">
        <v>77.19</v>
      </c>
      <c r="N248" s="3161">
        <v>96.65</v>
      </c>
      <c r="O248" s="3150">
        <v>77.19</v>
      </c>
      <c r="P248" s="3151">
        <v>9025</v>
      </c>
      <c r="Q248" s="3151">
        <v>11300.25</v>
      </c>
      <c r="R248" s="3151">
        <v>872266</v>
      </c>
      <c r="S248" s="3151">
        <v>10521.883099999999</v>
      </c>
      <c r="T248" s="3151">
        <v>13174.504499999999</v>
      </c>
      <c r="U248" s="3151">
        <v>1016940</v>
      </c>
      <c r="V248" s="3151">
        <v>9025</v>
      </c>
      <c r="W248" s="3151">
        <v>11300.25</v>
      </c>
      <c r="X248" s="3151">
        <v>872266</v>
      </c>
      <c r="Y248" s="3152">
        <v>872266</v>
      </c>
      <c r="Z248" s="3152">
        <v>0</v>
      </c>
      <c r="AA248" s="3153"/>
      <c r="AB248" s="3151">
        <v>872266</v>
      </c>
      <c r="AC248" s="3154">
        <v>43819</v>
      </c>
      <c r="AD248" s="3154">
        <v>44372.487411145834</v>
      </c>
      <c r="AE248" s="3154">
        <v>43847.563430902774</v>
      </c>
      <c r="AF248" s="3154">
        <v>44439</v>
      </c>
      <c r="AG248" s="3154">
        <v>44440</v>
      </c>
      <c r="AH248" s="3149"/>
      <c r="AI248" s="3149"/>
      <c r="AJ248" s="3154">
        <v>45199</v>
      </c>
      <c r="AK248" s="3149"/>
      <c r="AL248" s="3154">
        <v>43814</v>
      </c>
      <c r="AM248" s="3149" t="s">
        <v>3516</v>
      </c>
      <c r="AN248" s="3149" t="s">
        <v>3731</v>
      </c>
      <c r="AO248" s="3149" t="s">
        <v>3518</v>
      </c>
      <c r="AP248" s="3149" t="s">
        <v>3499</v>
      </c>
      <c r="AQ248" s="3149" t="s">
        <v>3499</v>
      </c>
      <c r="AR248" s="3149" t="s">
        <v>3519</v>
      </c>
      <c r="AS248" s="3149" t="s">
        <v>3520</v>
      </c>
      <c r="AT248" s="3149"/>
    </row>
    <row r="249" spans="1:46" ht="33.75">
      <c r="A249" s="3149">
        <v>241</v>
      </c>
      <c r="B249" s="3149" t="s">
        <v>3488</v>
      </c>
      <c r="C249" s="3149" t="s">
        <v>3489</v>
      </c>
      <c r="D249" s="3149" t="s">
        <v>3490</v>
      </c>
      <c r="E249" s="3149" t="s">
        <v>3699</v>
      </c>
      <c r="F249" s="3149" t="s">
        <v>3538</v>
      </c>
      <c r="G249" s="3149" t="s">
        <v>3525</v>
      </c>
      <c r="H249" s="3149" t="s">
        <v>3494</v>
      </c>
      <c r="I249" s="3149" t="s">
        <v>114</v>
      </c>
      <c r="J249" s="3149" t="s">
        <v>3389</v>
      </c>
      <c r="K249" s="3149" t="s">
        <v>3496</v>
      </c>
      <c r="L249" s="3150">
        <v>132.72</v>
      </c>
      <c r="M249" s="3150">
        <v>106</v>
      </c>
      <c r="N249" s="3161">
        <v>132.72</v>
      </c>
      <c r="O249" s="3150">
        <v>106</v>
      </c>
      <c r="P249" s="3151">
        <v>8550</v>
      </c>
      <c r="Q249" s="3151">
        <v>10705.25</v>
      </c>
      <c r="R249" s="3151">
        <v>1134756</v>
      </c>
      <c r="S249" s="3151">
        <v>9968.1057999999994</v>
      </c>
      <c r="T249" s="3151">
        <v>12480.8208</v>
      </c>
      <c r="U249" s="3151">
        <v>1322967</v>
      </c>
      <c r="V249" s="3151">
        <v>8550</v>
      </c>
      <c r="W249" s="3151">
        <v>10705.25</v>
      </c>
      <c r="X249" s="3151">
        <v>1134756</v>
      </c>
      <c r="Y249" s="3152">
        <v>1134756</v>
      </c>
      <c r="Z249" s="3152">
        <v>0</v>
      </c>
      <c r="AA249" s="3153"/>
      <c r="AB249" s="3151">
        <v>1134756</v>
      </c>
      <c r="AC249" s="3154">
        <v>43819</v>
      </c>
      <c r="AD249" s="3154">
        <v>44372.487411145834</v>
      </c>
      <c r="AE249" s="3154">
        <v>43847.563430902774</v>
      </c>
      <c r="AF249" s="3154">
        <v>44560</v>
      </c>
      <c r="AG249" s="3154">
        <v>44560</v>
      </c>
      <c r="AH249" s="3149"/>
      <c r="AI249" s="3149"/>
      <c r="AJ249" s="3154">
        <v>45199</v>
      </c>
      <c r="AK249" s="3149"/>
      <c r="AL249" s="3154">
        <v>43814</v>
      </c>
      <c r="AM249" s="3149" t="s">
        <v>3516</v>
      </c>
      <c r="AN249" s="3149" t="s">
        <v>3543</v>
      </c>
      <c r="AO249" s="3149" t="s">
        <v>3504</v>
      </c>
      <c r="AP249" s="3149" t="s">
        <v>3499</v>
      </c>
      <c r="AQ249" s="3149" t="s">
        <v>3499</v>
      </c>
      <c r="AR249" s="3149" t="s">
        <v>3519</v>
      </c>
      <c r="AS249" s="3149" t="s">
        <v>3520</v>
      </c>
      <c r="AT249" s="3149"/>
    </row>
    <row r="250" spans="1:46" ht="33.75">
      <c r="A250" s="3149">
        <v>242</v>
      </c>
      <c r="B250" s="3149" t="s">
        <v>3488</v>
      </c>
      <c r="C250" s="3149" t="s">
        <v>3489</v>
      </c>
      <c r="D250" s="3149" t="s">
        <v>3490</v>
      </c>
      <c r="E250" s="3149" t="s">
        <v>3699</v>
      </c>
      <c r="F250" s="3149" t="s">
        <v>3538</v>
      </c>
      <c r="G250" s="3149" t="s">
        <v>3528</v>
      </c>
      <c r="H250" s="3149" t="s">
        <v>3494</v>
      </c>
      <c r="I250" s="3149" t="s">
        <v>114</v>
      </c>
      <c r="J250" s="3149" t="s">
        <v>3389</v>
      </c>
      <c r="K250" s="3149" t="s">
        <v>3496</v>
      </c>
      <c r="L250" s="3150">
        <v>132.72</v>
      </c>
      <c r="M250" s="3150">
        <v>106</v>
      </c>
      <c r="N250" s="3161">
        <v>132.72</v>
      </c>
      <c r="O250" s="3150">
        <v>106</v>
      </c>
      <c r="P250" s="3151">
        <v>8550</v>
      </c>
      <c r="Q250" s="3151">
        <v>10705.25</v>
      </c>
      <c r="R250" s="3151">
        <v>1134756</v>
      </c>
      <c r="S250" s="3151">
        <v>9968.1057999999994</v>
      </c>
      <c r="T250" s="3151">
        <v>12480.8208</v>
      </c>
      <c r="U250" s="3151">
        <v>1322967</v>
      </c>
      <c r="V250" s="3151">
        <v>8550</v>
      </c>
      <c r="W250" s="3151">
        <v>10705.25</v>
      </c>
      <c r="X250" s="3151">
        <v>1134756</v>
      </c>
      <c r="Y250" s="3152">
        <v>1134756</v>
      </c>
      <c r="Z250" s="3152">
        <v>0</v>
      </c>
      <c r="AA250" s="3153"/>
      <c r="AB250" s="3151">
        <v>1134756</v>
      </c>
      <c r="AC250" s="3154">
        <v>43819</v>
      </c>
      <c r="AD250" s="3154">
        <v>44372.487411145834</v>
      </c>
      <c r="AE250" s="3154">
        <v>43847.563430902774</v>
      </c>
      <c r="AF250" s="3154">
        <v>44560</v>
      </c>
      <c r="AG250" s="3154">
        <v>44560</v>
      </c>
      <c r="AH250" s="3149"/>
      <c r="AI250" s="3149"/>
      <c r="AJ250" s="3154">
        <v>45199</v>
      </c>
      <c r="AK250" s="3149"/>
      <c r="AL250" s="3154">
        <v>43814</v>
      </c>
      <c r="AM250" s="3149" t="s">
        <v>3516</v>
      </c>
      <c r="AN250" s="3149" t="s">
        <v>3543</v>
      </c>
      <c r="AO250" s="3149" t="s">
        <v>3518</v>
      </c>
      <c r="AP250" s="3149" t="s">
        <v>3499</v>
      </c>
      <c r="AQ250" s="3149" t="s">
        <v>3499</v>
      </c>
      <c r="AR250" s="3149" t="s">
        <v>3519</v>
      </c>
      <c r="AS250" s="3149" t="s">
        <v>3520</v>
      </c>
      <c r="AT250" s="3149"/>
    </row>
    <row r="251" spans="1:46" ht="33.75">
      <c r="A251" s="3149">
        <v>243</v>
      </c>
      <c r="B251" s="3149" t="s">
        <v>3488</v>
      </c>
      <c r="C251" s="3149" t="s">
        <v>3489</v>
      </c>
      <c r="D251" s="3149" t="s">
        <v>3490</v>
      </c>
      <c r="E251" s="3149" t="s">
        <v>3699</v>
      </c>
      <c r="F251" s="3149" t="s">
        <v>3546</v>
      </c>
      <c r="G251" s="3149" t="s">
        <v>3493</v>
      </c>
      <c r="H251" s="3149" t="s">
        <v>3494</v>
      </c>
      <c r="I251" s="3149" t="s">
        <v>114</v>
      </c>
      <c r="J251" s="3149" t="s">
        <v>3389</v>
      </c>
      <c r="K251" s="3149" t="s">
        <v>3496</v>
      </c>
      <c r="L251" s="3150">
        <v>96.65</v>
      </c>
      <c r="M251" s="3150">
        <v>77.19</v>
      </c>
      <c r="N251" s="3161">
        <v>96.65</v>
      </c>
      <c r="O251" s="3150">
        <v>77.19</v>
      </c>
      <c r="P251" s="3151">
        <v>12773.67</v>
      </c>
      <c r="Q251" s="3151">
        <v>15993.98</v>
      </c>
      <c r="R251" s="3151">
        <v>1234575</v>
      </c>
      <c r="S251" s="3151">
        <v>14489.611999999999</v>
      </c>
      <c r="T251" s="3151">
        <v>18142.518499999998</v>
      </c>
      <c r="U251" s="3151">
        <v>1400421</v>
      </c>
      <c r="V251" s="3151">
        <v>13279.6</v>
      </c>
      <c r="W251" s="3151">
        <v>16627.45</v>
      </c>
      <c r="X251" s="3151">
        <v>1283473</v>
      </c>
      <c r="Y251" s="3152">
        <v>1283473</v>
      </c>
      <c r="Z251" s="3152">
        <v>0</v>
      </c>
      <c r="AA251" s="3153"/>
      <c r="AB251" s="3151">
        <v>1283473</v>
      </c>
      <c r="AC251" s="3154">
        <v>43819</v>
      </c>
      <c r="AD251" s="3154">
        <v>43941.696851817127</v>
      </c>
      <c r="AE251" s="3154">
        <v>43847.563430902774</v>
      </c>
      <c r="AF251" s="3154">
        <v>43972</v>
      </c>
      <c r="AG251" s="3154">
        <v>43981</v>
      </c>
      <c r="AH251" s="3154">
        <v>43992</v>
      </c>
      <c r="AI251" s="3154">
        <v>43998</v>
      </c>
      <c r="AJ251" s="3154">
        <v>44834</v>
      </c>
      <c r="AK251" s="3149"/>
      <c r="AL251" s="3154">
        <v>43814</v>
      </c>
      <c r="AM251" s="3149" t="s">
        <v>3416</v>
      </c>
      <c r="AN251" s="3149" t="s">
        <v>3732</v>
      </c>
      <c r="AO251" s="3149" t="s">
        <v>3591</v>
      </c>
      <c r="AP251" s="3149" t="s">
        <v>3499</v>
      </c>
      <c r="AQ251" s="3149" t="s">
        <v>3499</v>
      </c>
      <c r="AR251" s="3149" t="s">
        <v>3505</v>
      </c>
      <c r="AS251" s="3149" t="s">
        <v>3506</v>
      </c>
      <c r="AT251" s="3149" t="s">
        <v>3507</v>
      </c>
    </row>
    <row r="252" spans="1:46" ht="33.75">
      <c r="A252" s="3149">
        <v>244</v>
      </c>
      <c r="B252" s="3149" t="s">
        <v>3488</v>
      </c>
      <c r="C252" s="3149" t="s">
        <v>3489</v>
      </c>
      <c r="D252" s="3149" t="s">
        <v>3490</v>
      </c>
      <c r="E252" s="3149" t="s">
        <v>3699</v>
      </c>
      <c r="F252" s="3149" t="s">
        <v>3546</v>
      </c>
      <c r="G252" s="3149" t="s">
        <v>3502</v>
      </c>
      <c r="H252" s="3149" t="s">
        <v>3494</v>
      </c>
      <c r="I252" s="3149" t="s">
        <v>114</v>
      </c>
      <c r="J252" s="3149" t="s">
        <v>3389</v>
      </c>
      <c r="K252" s="3149" t="s">
        <v>3496</v>
      </c>
      <c r="L252" s="3150">
        <v>96.65</v>
      </c>
      <c r="M252" s="3150">
        <v>77.19</v>
      </c>
      <c r="N252" s="3161">
        <v>96.65</v>
      </c>
      <c r="O252" s="3150">
        <v>77.19</v>
      </c>
      <c r="P252" s="3151">
        <v>14406.16</v>
      </c>
      <c r="Q252" s="3151">
        <v>18038.02</v>
      </c>
      <c r="R252" s="3151">
        <v>1392355</v>
      </c>
      <c r="S252" s="3151">
        <v>16208.018599999999</v>
      </c>
      <c r="T252" s="3151">
        <v>20294.1443</v>
      </c>
      <c r="U252" s="3151">
        <v>1566505</v>
      </c>
      <c r="V252" s="3151">
        <v>14500</v>
      </c>
      <c r="W252" s="3151">
        <v>18155.53</v>
      </c>
      <c r="X252" s="3151">
        <v>1401425</v>
      </c>
      <c r="Y252" s="3152">
        <v>1401425</v>
      </c>
      <c r="Z252" s="3152">
        <v>0</v>
      </c>
      <c r="AA252" s="3153"/>
      <c r="AB252" s="3151">
        <v>1401425</v>
      </c>
      <c r="AC252" s="3154">
        <v>43819</v>
      </c>
      <c r="AD252" s="3154">
        <v>43941.696851817127</v>
      </c>
      <c r="AE252" s="3154">
        <v>43847.563430902774</v>
      </c>
      <c r="AF252" s="3154">
        <v>43960.58694444444</v>
      </c>
      <c r="AG252" s="3154">
        <v>43962</v>
      </c>
      <c r="AH252" s="3154">
        <v>43980</v>
      </c>
      <c r="AI252" s="3154">
        <v>43991</v>
      </c>
      <c r="AJ252" s="3154">
        <v>44834</v>
      </c>
      <c r="AK252" s="3149"/>
      <c r="AL252" s="3154">
        <v>43814</v>
      </c>
      <c r="AM252" s="3149" t="s">
        <v>3416</v>
      </c>
      <c r="AN252" s="3149" t="s">
        <v>3733</v>
      </c>
      <c r="AO252" s="3149" t="s">
        <v>3540</v>
      </c>
      <c r="AP252" s="3149" t="s">
        <v>3499</v>
      </c>
      <c r="AQ252" s="3149" t="s">
        <v>3499</v>
      </c>
      <c r="AR252" s="3149"/>
      <c r="AS252" s="3149"/>
      <c r="AT252" s="3149"/>
    </row>
    <row r="253" spans="1:46" ht="33.75">
      <c r="A253" s="3149">
        <v>245</v>
      </c>
      <c r="B253" s="3149" t="s">
        <v>3488</v>
      </c>
      <c r="C253" s="3149" t="s">
        <v>3489</v>
      </c>
      <c r="D253" s="3149" t="s">
        <v>3490</v>
      </c>
      <c r="E253" s="3149" t="s">
        <v>3699</v>
      </c>
      <c r="F253" s="3149" t="s">
        <v>3546</v>
      </c>
      <c r="G253" s="3149" t="s">
        <v>3508</v>
      </c>
      <c r="H253" s="3149" t="s">
        <v>3494</v>
      </c>
      <c r="I253" s="3149" t="s">
        <v>114</v>
      </c>
      <c r="J253" s="3149" t="s">
        <v>3389</v>
      </c>
      <c r="K253" s="3149" t="s">
        <v>3496</v>
      </c>
      <c r="L253" s="3150">
        <v>96.65</v>
      </c>
      <c r="M253" s="3150">
        <v>77.19</v>
      </c>
      <c r="N253" s="3161">
        <v>96.65</v>
      </c>
      <c r="O253" s="3150">
        <v>77.19</v>
      </c>
      <c r="P253" s="3151">
        <v>9200</v>
      </c>
      <c r="Q253" s="3151">
        <v>11519.37</v>
      </c>
      <c r="R253" s="3151">
        <v>889180</v>
      </c>
      <c r="S253" s="3151">
        <v>10189.622300000001</v>
      </c>
      <c r="T253" s="3151">
        <v>12758.4791</v>
      </c>
      <c r="U253" s="3151">
        <v>984827</v>
      </c>
      <c r="V253" s="3151">
        <v>9200</v>
      </c>
      <c r="W253" s="3151">
        <v>11519.37</v>
      </c>
      <c r="X253" s="3151">
        <v>889180</v>
      </c>
      <c r="Y253" s="3152">
        <v>889180</v>
      </c>
      <c r="Z253" s="3152">
        <v>0</v>
      </c>
      <c r="AA253" s="3153"/>
      <c r="AB253" s="3151">
        <v>889180</v>
      </c>
      <c r="AC253" s="3154">
        <v>43819</v>
      </c>
      <c r="AD253" s="3154">
        <v>44269.483404594903</v>
      </c>
      <c r="AE253" s="3154">
        <v>43847.563430902774</v>
      </c>
      <c r="AF253" s="3154">
        <v>44276</v>
      </c>
      <c r="AG253" s="3154">
        <v>44276</v>
      </c>
      <c r="AH253" s="3154">
        <v>44282</v>
      </c>
      <c r="AI253" s="3154">
        <v>44294</v>
      </c>
      <c r="AJ253" s="3154">
        <v>44834</v>
      </c>
      <c r="AK253" s="3149"/>
      <c r="AL253" s="3154">
        <v>43814</v>
      </c>
      <c r="AM253" s="3149" t="s">
        <v>3416</v>
      </c>
      <c r="AN253" s="3149" t="s">
        <v>3734</v>
      </c>
      <c r="AO253" s="3149" t="s">
        <v>3709</v>
      </c>
      <c r="AP253" s="3149" t="s">
        <v>3499</v>
      </c>
      <c r="AQ253" s="3149" t="s">
        <v>3499</v>
      </c>
      <c r="AR253" s="3149" t="s">
        <v>3505</v>
      </c>
      <c r="AS253" s="3149" t="s">
        <v>3561</v>
      </c>
      <c r="AT253" s="3149" t="s">
        <v>3677</v>
      </c>
    </row>
    <row r="254" spans="1:46" ht="33.75">
      <c r="A254" s="3149">
        <v>246</v>
      </c>
      <c r="B254" s="3149" t="s">
        <v>3488</v>
      </c>
      <c r="C254" s="3149" t="s">
        <v>3489</v>
      </c>
      <c r="D254" s="3149" t="s">
        <v>3490</v>
      </c>
      <c r="E254" s="3149" t="s">
        <v>3699</v>
      </c>
      <c r="F254" s="3149" t="s">
        <v>3546</v>
      </c>
      <c r="G254" s="3149" t="s">
        <v>3510</v>
      </c>
      <c r="H254" s="3149" t="s">
        <v>3494</v>
      </c>
      <c r="I254" s="3149" t="s">
        <v>114</v>
      </c>
      <c r="J254" s="3149" t="s">
        <v>3389</v>
      </c>
      <c r="K254" s="3149" t="s">
        <v>3496</v>
      </c>
      <c r="L254" s="3150">
        <v>96.65</v>
      </c>
      <c r="M254" s="3150">
        <v>77.19</v>
      </c>
      <c r="N254" s="3161">
        <v>96.65</v>
      </c>
      <c r="O254" s="3150">
        <v>77.19</v>
      </c>
      <c r="P254" s="3151">
        <v>8930.01</v>
      </c>
      <c r="Q254" s="3151">
        <v>11181.31</v>
      </c>
      <c r="R254" s="3151">
        <v>863085</v>
      </c>
      <c r="S254" s="3151">
        <v>10411.1433</v>
      </c>
      <c r="T254" s="3151">
        <v>13035.846600000001</v>
      </c>
      <c r="U254" s="3151">
        <v>1006237</v>
      </c>
      <c r="V254" s="3151">
        <v>8930.02</v>
      </c>
      <c r="W254" s="3151">
        <v>11181.32</v>
      </c>
      <c r="X254" s="3151">
        <v>863086</v>
      </c>
      <c r="Y254" s="3152">
        <v>863086</v>
      </c>
      <c r="Z254" s="3152">
        <v>0</v>
      </c>
      <c r="AA254" s="3153"/>
      <c r="AB254" s="3151">
        <v>863086</v>
      </c>
      <c r="AC254" s="3154">
        <v>43819</v>
      </c>
      <c r="AD254" s="3154">
        <v>44372.487411145834</v>
      </c>
      <c r="AE254" s="3154">
        <v>43847.563430902774</v>
      </c>
      <c r="AF254" s="3154">
        <v>44433</v>
      </c>
      <c r="AG254" s="3154">
        <v>44433</v>
      </c>
      <c r="AH254" s="3154">
        <v>45054</v>
      </c>
      <c r="AI254" s="3149"/>
      <c r="AJ254" s="3154">
        <v>45199</v>
      </c>
      <c r="AK254" s="3149"/>
      <c r="AL254" s="3154">
        <v>43814</v>
      </c>
      <c r="AM254" s="3149" t="s">
        <v>3516</v>
      </c>
      <c r="AN254" s="3149" t="s">
        <v>3735</v>
      </c>
      <c r="AO254" s="3149" t="s">
        <v>3540</v>
      </c>
      <c r="AP254" s="3149" t="s">
        <v>3499</v>
      </c>
      <c r="AQ254" s="3149" t="s">
        <v>3499</v>
      </c>
      <c r="AR254" s="3149" t="s">
        <v>3519</v>
      </c>
      <c r="AS254" s="3149" t="s">
        <v>3520</v>
      </c>
      <c r="AT254" s="3149"/>
    </row>
    <row r="255" spans="1:46" ht="33.75">
      <c r="A255" s="3149">
        <v>247</v>
      </c>
      <c r="B255" s="3149" t="s">
        <v>3488</v>
      </c>
      <c r="C255" s="3149" t="s">
        <v>3489</v>
      </c>
      <c r="D255" s="3149" t="s">
        <v>3490</v>
      </c>
      <c r="E255" s="3149" t="s">
        <v>3699</v>
      </c>
      <c r="F255" s="3149" t="s">
        <v>3546</v>
      </c>
      <c r="G255" s="3149" t="s">
        <v>3511</v>
      </c>
      <c r="H255" s="3149" t="s">
        <v>3494</v>
      </c>
      <c r="I255" s="3149" t="s">
        <v>114</v>
      </c>
      <c r="J255" s="3149" t="s">
        <v>3389</v>
      </c>
      <c r="K255" s="3149" t="s">
        <v>3496</v>
      </c>
      <c r="L255" s="3150">
        <v>96.65</v>
      </c>
      <c r="M255" s="3150">
        <v>77.19</v>
      </c>
      <c r="N255" s="3161">
        <v>96.65</v>
      </c>
      <c r="O255" s="3150">
        <v>77.19</v>
      </c>
      <c r="P255" s="3151">
        <v>9225.01</v>
      </c>
      <c r="Q255" s="3151">
        <v>11550.68</v>
      </c>
      <c r="R255" s="3151">
        <v>891597</v>
      </c>
      <c r="S255" s="3151">
        <v>10755.075000000001</v>
      </c>
      <c r="T255" s="3151">
        <v>13466.4853</v>
      </c>
      <c r="U255" s="3151">
        <v>1039478</v>
      </c>
      <c r="V255" s="3151">
        <v>9225.02</v>
      </c>
      <c r="W255" s="3151">
        <v>11550.69</v>
      </c>
      <c r="X255" s="3151">
        <v>891598</v>
      </c>
      <c r="Y255" s="3152">
        <v>891598</v>
      </c>
      <c r="Z255" s="3152">
        <v>0</v>
      </c>
      <c r="AA255" s="3153"/>
      <c r="AB255" s="3151">
        <v>891598</v>
      </c>
      <c r="AC255" s="3154">
        <v>43819</v>
      </c>
      <c r="AD255" s="3154">
        <v>44538.684577083332</v>
      </c>
      <c r="AE255" s="3154">
        <v>43847.563430902774</v>
      </c>
      <c r="AF255" s="3154">
        <v>44554</v>
      </c>
      <c r="AG255" s="3154">
        <v>44554</v>
      </c>
      <c r="AH255" s="3149"/>
      <c r="AI255" s="3149"/>
      <c r="AJ255" s="3154">
        <v>45199</v>
      </c>
      <c r="AK255" s="3149"/>
      <c r="AL255" s="3154">
        <v>43814</v>
      </c>
      <c r="AM255" s="3149" t="s">
        <v>3516</v>
      </c>
      <c r="AN255" s="3149" t="s">
        <v>3716</v>
      </c>
      <c r="AO255" s="3149" t="s">
        <v>3498</v>
      </c>
      <c r="AP255" s="3149" t="s">
        <v>3499</v>
      </c>
      <c r="AQ255" s="3149" t="s">
        <v>3499</v>
      </c>
      <c r="AR255" s="3149" t="s">
        <v>3519</v>
      </c>
      <c r="AS255" s="3149" t="s">
        <v>3520</v>
      </c>
      <c r="AT255" s="3149"/>
    </row>
    <row r="256" spans="1:46" ht="33.75">
      <c r="A256" s="3149">
        <v>248</v>
      </c>
      <c r="B256" s="3149" t="s">
        <v>3488</v>
      </c>
      <c r="C256" s="3149" t="s">
        <v>3489</v>
      </c>
      <c r="D256" s="3149" t="s">
        <v>3490</v>
      </c>
      <c r="E256" s="3149" t="s">
        <v>3699</v>
      </c>
      <c r="F256" s="3149" t="s">
        <v>3546</v>
      </c>
      <c r="G256" s="3149" t="s">
        <v>3512</v>
      </c>
      <c r="H256" s="3149" t="s">
        <v>3494</v>
      </c>
      <c r="I256" s="3149" t="s">
        <v>114</v>
      </c>
      <c r="J256" s="3149" t="s">
        <v>3389</v>
      </c>
      <c r="K256" s="3149" t="s">
        <v>3496</v>
      </c>
      <c r="L256" s="3150">
        <v>96.65</v>
      </c>
      <c r="M256" s="3150">
        <v>77.19</v>
      </c>
      <c r="N256" s="3161">
        <v>96.65</v>
      </c>
      <c r="O256" s="3150">
        <v>77.19</v>
      </c>
      <c r="P256" s="3151">
        <v>9405.01</v>
      </c>
      <c r="Q256" s="3151">
        <v>11776.06</v>
      </c>
      <c r="R256" s="3151">
        <v>908994</v>
      </c>
      <c r="S256" s="3151">
        <v>10964.924999999999</v>
      </c>
      <c r="T256" s="3151">
        <v>13729.2395</v>
      </c>
      <c r="U256" s="3151">
        <v>1059760</v>
      </c>
      <c r="V256" s="3151">
        <v>9405.01</v>
      </c>
      <c r="W256" s="3151">
        <v>11776.06</v>
      </c>
      <c r="X256" s="3151">
        <v>908994</v>
      </c>
      <c r="Y256" s="3152">
        <v>908994</v>
      </c>
      <c r="Z256" s="3152">
        <v>0</v>
      </c>
      <c r="AA256" s="3153"/>
      <c r="AB256" s="3151">
        <v>908994</v>
      </c>
      <c r="AC256" s="3154">
        <v>43819</v>
      </c>
      <c r="AD256" s="3154">
        <v>44538.684577083332</v>
      </c>
      <c r="AE256" s="3154">
        <v>43847.563430902774</v>
      </c>
      <c r="AF256" s="3154">
        <v>44554</v>
      </c>
      <c r="AG256" s="3154">
        <v>44554</v>
      </c>
      <c r="AH256" s="3149"/>
      <c r="AI256" s="3149"/>
      <c r="AJ256" s="3154">
        <v>45199</v>
      </c>
      <c r="AK256" s="3149"/>
      <c r="AL256" s="3154">
        <v>43814</v>
      </c>
      <c r="AM256" s="3149" t="s">
        <v>3516</v>
      </c>
      <c r="AN256" s="3149" t="s">
        <v>3736</v>
      </c>
      <c r="AO256" s="3149" t="s">
        <v>3504</v>
      </c>
      <c r="AP256" s="3149" t="s">
        <v>3499</v>
      </c>
      <c r="AQ256" s="3149" t="s">
        <v>3499</v>
      </c>
      <c r="AR256" s="3149" t="s">
        <v>3519</v>
      </c>
      <c r="AS256" s="3149" t="s">
        <v>3520</v>
      </c>
      <c r="AT256" s="3149"/>
    </row>
    <row r="257" spans="1:46" ht="33.75">
      <c r="A257" s="3149">
        <v>249</v>
      </c>
      <c r="B257" s="3149" t="s">
        <v>3488</v>
      </c>
      <c r="C257" s="3149" t="s">
        <v>3489</v>
      </c>
      <c r="D257" s="3149" t="s">
        <v>3490</v>
      </c>
      <c r="E257" s="3149" t="s">
        <v>3699</v>
      </c>
      <c r="F257" s="3149" t="s">
        <v>3546</v>
      </c>
      <c r="G257" s="3149" t="s">
        <v>3513</v>
      </c>
      <c r="H257" s="3149" t="s">
        <v>3494</v>
      </c>
      <c r="I257" s="3149" t="s">
        <v>114</v>
      </c>
      <c r="J257" s="3149" t="s">
        <v>3389</v>
      </c>
      <c r="K257" s="3149" t="s">
        <v>3496</v>
      </c>
      <c r="L257" s="3150">
        <v>96.65</v>
      </c>
      <c r="M257" s="3150">
        <v>77.19</v>
      </c>
      <c r="N257" s="3161">
        <v>96.65</v>
      </c>
      <c r="O257" s="3150">
        <v>77.19</v>
      </c>
      <c r="P257" s="3151">
        <v>8835</v>
      </c>
      <c r="Q257" s="3151">
        <v>11062.35</v>
      </c>
      <c r="R257" s="3151">
        <v>853903</v>
      </c>
      <c r="S257" s="3151">
        <v>10300.382799999999</v>
      </c>
      <c r="T257" s="3151">
        <v>12897.1628</v>
      </c>
      <c r="U257" s="3151">
        <v>995532</v>
      </c>
      <c r="V257" s="3151">
        <v>9300</v>
      </c>
      <c r="W257" s="3151">
        <v>11644.58</v>
      </c>
      <c r="X257" s="3151">
        <v>898845</v>
      </c>
      <c r="Y257" s="3152">
        <v>898845</v>
      </c>
      <c r="Z257" s="3152">
        <v>0</v>
      </c>
      <c r="AA257" s="3153"/>
      <c r="AB257" s="3151">
        <v>898845</v>
      </c>
      <c r="AC257" s="3154">
        <v>43819</v>
      </c>
      <c r="AD257" s="3154">
        <v>44613.428746493053</v>
      </c>
      <c r="AE257" s="3154">
        <v>43847.563430902774</v>
      </c>
      <c r="AF257" s="3154">
        <v>44613</v>
      </c>
      <c r="AG257" s="3154">
        <v>44613</v>
      </c>
      <c r="AH257" s="3154">
        <v>44748</v>
      </c>
      <c r="AI257" s="3154">
        <v>44749</v>
      </c>
      <c r="AJ257" s="3154">
        <v>45199</v>
      </c>
      <c r="AK257" s="3149"/>
      <c r="AL257" s="3154">
        <v>43814</v>
      </c>
      <c r="AM257" s="3149" t="s">
        <v>3516</v>
      </c>
      <c r="AN257" s="3149" t="s">
        <v>3737</v>
      </c>
      <c r="AO257" s="3149" t="s">
        <v>3540</v>
      </c>
      <c r="AP257" s="3149" t="s">
        <v>3499</v>
      </c>
      <c r="AQ257" s="3149" t="s">
        <v>3499</v>
      </c>
      <c r="AR257" s="3149" t="s">
        <v>3519</v>
      </c>
      <c r="AS257" s="3149" t="s">
        <v>3520</v>
      </c>
      <c r="AT257" s="3149"/>
    </row>
    <row r="258" spans="1:46" ht="33.75">
      <c r="A258" s="3149">
        <v>250</v>
      </c>
      <c r="B258" s="3149" t="s">
        <v>3488</v>
      </c>
      <c r="C258" s="3149" t="s">
        <v>3489</v>
      </c>
      <c r="D258" s="3149" t="s">
        <v>3490</v>
      </c>
      <c r="E258" s="3149" t="s">
        <v>3699</v>
      </c>
      <c r="F258" s="3149" t="s">
        <v>3546</v>
      </c>
      <c r="G258" s="3149" t="s">
        <v>3514</v>
      </c>
      <c r="H258" s="3149" t="s">
        <v>3494</v>
      </c>
      <c r="I258" s="3149" t="s">
        <v>114</v>
      </c>
      <c r="J258" s="3149" t="s">
        <v>3389</v>
      </c>
      <c r="K258" s="3149" t="s">
        <v>3496</v>
      </c>
      <c r="L258" s="3150">
        <v>96.65</v>
      </c>
      <c r="M258" s="3150">
        <v>77.19</v>
      </c>
      <c r="N258" s="3161">
        <v>96.65</v>
      </c>
      <c r="O258" s="3150">
        <v>77.19</v>
      </c>
      <c r="P258" s="3151">
        <v>8400</v>
      </c>
      <c r="Q258" s="3151">
        <v>10517.68</v>
      </c>
      <c r="R258" s="3151">
        <v>811860</v>
      </c>
      <c r="S258" s="3151">
        <v>9793.2332999999999</v>
      </c>
      <c r="T258" s="3151">
        <v>12262.158299999999</v>
      </c>
      <c r="U258" s="3151">
        <v>946516</v>
      </c>
      <c r="V258" s="3151">
        <v>8400.01</v>
      </c>
      <c r="W258" s="3151">
        <v>10517.7</v>
      </c>
      <c r="X258" s="3151">
        <v>811861</v>
      </c>
      <c r="Y258" s="3152">
        <v>811861</v>
      </c>
      <c r="Z258" s="3152">
        <v>0</v>
      </c>
      <c r="AA258" s="3153"/>
      <c r="AB258" s="3151">
        <v>811861</v>
      </c>
      <c r="AC258" s="3154">
        <v>43819</v>
      </c>
      <c r="AD258" s="3154">
        <v>44372.487411145834</v>
      </c>
      <c r="AE258" s="3154">
        <v>43847.563430902774</v>
      </c>
      <c r="AF258" s="3154">
        <v>44379</v>
      </c>
      <c r="AG258" s="3154">
        <v>44391</v>
      </c>
      <c r="AH258" s="3149"/>
      <c r="AI258" s="3149"/>
      <c r="AJ258" s="3154">
        <v>45199</v>
      </c>
      <c r="AK258" s="3149"/>
      <c r="AL258" s="3154">
        <v>43814</v>
      </c>
      <c r="AM258" s="3149" t="s">
        <v>3516</v>
      </c>
      <c r="AN258" s="3149" t="s">
        <v>3727</v>
      </c>
      <c r="AO258" s="3149" t="s">
        <v>3498</v>
      </c>
      <c r="AP258" s="3149" t="s">
        <v>3499</v>
      </c>
      <c r="AQ258" s="3149" t="s">
        <v>3499</v>
      </c>
      <c r="AR258" s="3149" t="s">
        <v>3519</v>
      </c>
      <c r="AS258" s="3149" t="s">
        <v>3520</v>
      </c>
      <c r="AT258" s="3149"/>
    </row>
    <row r="259" spans="1:46" ht="33.75">
      <c r="A259" s="3149">
        <v>251</v>
      </c>
      <c r="B259" s="3149" t="s">
        <v>3488</v>
      </c>
      <c r="C259" s="3149" t="s">
        <v>3489</v>
      </c>
      <c r="D259" s="3149" t="s">
        <v>3490</v>
      </c>
      <c r="E259" s="3149" t="s">
        <v>3699</v>
      </c>
      <c r="F259" s="3149" t="s">
        <v>3546</v>
      </c>
      <c r="G259" s="3149" t="s">
        <v>3515</v>
      </c>
      <c r="H259" s="3149" t="s">
        <v>3509</v>
      </c>
      <c r="I259" s="3149" t="s">
        <v>114</v>
      </c>
      <c r="J259" s="3149" t="s">
        <v>3389</v>
      </c>
      <c r="K259" s="3149" t="s">
        <v>3496</v>
      </c>
      <c r="L259" s="3150">
        <v>96.65</v>
      </c>
      <c r="M259" s="3150">
        <v>77.19</v>
      </c>
      <c r="N259" s="3161">
        <v>96.65</v>
      </c>
      <c r="O259" s="3150">
        <v>77.19</v>
      </c>
      <c r="P259" s="3151">
        <v>5500</v>
      </c>
      <c r="Q259" s="3151">
        <v>6886.58</v>
      </c>
      <c r="R259" s="3151">
        <v>531575</v>
      </c>
      <c r="S259" s="3151">
        <v>5500</v>
      </c>
      <c r="T259" s="3151">
        <v>6886.5785999999998</v>
      </c>
      <c r="U259" s="3151">
        <v>531575</v>
      </c>
      <c r="V259" s="3153"/>
      <c r="W259" s="3153"/>
      <c r="X259" s="3153"/>
      <c r="Y259" s="3153"/>
      <c r="Z259" s="3152">
        <v>0</v>
      </c>
      <c r="AA259" s="3153"/>
      <c r="AB259" s="3151">
        <v>0</v>
      </c>
      <c r="AC259" s="3154">
        <v>43819</v>
      </c>
      <c r="AD259" s="3154">
        <v>45264.773614039354</v>
      </c>
      <c r="AE259" s="3154">
        <v>43847.563430902774</v>
      </c>
      <c r="AF259" s="3149"/>
      <c r="AG259" s="3149"/>
      <c r="AH259" s="3149"/>
      <c r="AI259" s="3149"/>
      <c r="AJ259" s="3149"/>
      <c r="AK259" s="3149"/>
      <c r="AL259" s="3154">
        <v>43814</v>
      </c>
      <c r="AM259" s="3149"/>
      <c r="AN259" s="3149"/>
      <c r="AO259" s="3149"/>
      <c r="AP259" s="3149"/>
      <c r="AQ259" s="3149"/>
      <c r="AR259" s="3149"/>
      <c r="AS259" s="3149"/>
      <c r="AT259" s="3149"/>
    </row>
    <row r="260" spans="1:46" ht="33.75">
      <c r="A260" s="3149">
        <v>252</v>
      </c>
      <c r="B260" s="3149" t="s">
        <v>3488</v>
      </c>
      <c r="C260" s="3149" t="s">
        <v>3489</v>
      </c>
      <c r="D260" s="3149" t="s">
        <v>3490</v>
      </c>
      <c r="E260" s="3149" t="s">
        <v>3699</v>
      </c>
      <c r="F260" s="3149" t="s">
        <v>3546</v>
      </c>
      <c r="G260" s="3149" t="s">
        <v>3521</v>
      </c>
      <c r="H260" s="3149" t="s">
        <v>3494</v>
      </c>
      <c r="I260" s="3149" t="s">
        <v>114</v>
      </c>
      <c r="J260" s="3149" t="s">
        <v>3389</v>
      </c>
      <c r="K260" s="3149" t="s">
        <v>3496</v>
      </c>
      <c r="L260" s="3150">
        <v>96.65</v>
      </c>
      <c r="M260" s="3150">
        <v>77.19</v>
      </c>
      <c r="N260" s="3161">
        <v>96.65</v>
      </c>
      <c r="O260" s="3150">
        <v>77.19</v>
      </c>
      <c r="P260" s="3151">
        <v>9540</v>
      </c>
      <c r="Q260" s="3151">
        <v>11945.08</v>
      </c>
      <c r="R260" s="3151">
        <v>922041</v>
      </c>
      <c r="S260" s="3151">
        <v>11122.3073</v>
      </c>
      <c r="T260" s="3151">
        <v>13926.298699999999</v>
      </c>
      <c r="U260" s="3151">
        <v>1074971</v>
      </c>
      <c r="V260" s="3151">
        <v>9540</v>
      </c>
      <c r="W260" s="3151">
        <v>11945.08</v>
      </c>
      <c r="X260" s="3151">
        <v>922041</v>
      </c>
      <c r="Y260" s="3152">
        <v>922041</v>
      </c>
      <c r="Z260" s="3152">
        <v>0</v>
      </c>
      <c r="AA260" s="3153"/>
      <c r="AB260" s="3151">
        <v>922041</v>
      </c>
      <c r="AC260" s="3154">
        <v>43819</v>
      </c>
      <c r="AD260" s="3154">
        <v>44538.684577083332</v>
      </c>
      <c r="AE260" s="3154">
        <v>43847.563430902774</v>
      </c>
      <c r="AF260" s="3149"/>
      <c r="AG260" s="3154">
        <v>44544.66951388889</v>
      </c>
      <c r="AH260" s="3149"/>
      <c r="AI260" s="3149"/>
      <c r="AJ260" s="3154">
        <v>45199</v>
      </c>
      <c r="AK260" s="3149"/>
      <c r="AL260" s="3154">
        <v>43814</v>
      </c>
      <c r="AM260" s="3149" t="s">
        <v>3516</v>
      </c>
      <c r="AN260" s="3149" t="s">
        <v>3718</v>
      </c>
      <c r="AO260" s="3149" t="s">
        <v>3638</v>
      </c>
      <c r="AP260" s="3149" t="s">
        <v>3499</v>
      </c>
      <c r="AQ260" s="3149" t="s">
        <v>3499</v>
      </c>
      <c r="AR260" s="3149" t="s">
        <v>3519</v>
      </c>
      <c r="AS260" s="3149" t="s">
        <v>3520</v>
      </c>
      <c r="AT260" s="3149"/>
    </row>
    <row r="261" spans="1:46" ht="33.75">
      <c r="A261" s="3149">
        <v>253</v>
      </c>
      <c r="B261" s="3149" t="s">
        <v>3488</v>
      </c>
      <c r="C261" s="3149" t="s">
        <v>3489</v>
      </c>
      <c r="D261" s="3149" t="s">
        <v>3490</v>
      </c>
      <c r="E261" s="3149" t="s">
        <v>3699</v>
      </c>
      <c r="F261" s="3149" t="s">
        <v>3546</v>
      </c>
      <c r="G261" s="3149" t="s">
        <v>3522</v>
      </c>
      <c r="H261" s="3149" t="s">
        <v>3494</v>
      </c>
      <c r="I261" s="3149" t="s">
        <v>114</v>
      </c>
      <c r="J261" s="3149" t="s">
        <v>3389</v>
      </c>
      <c r="K261" s="3149" t="s">
        <v>3496</v>
      </c>
      <c r="L261" s="3150">
        <v>96.65</v>
      </c>
      <c r="M261" s="3150">
        <v>77.19</v>
      </c>
      <c r="N261" s="3161">
        <v>96.65</v>
      </c>
      <c r="O261" s="3150">
        <v>77.19</v>
      </c>
      <c r="P261" s="3151">
        <v>9500</v>
      </c>
      <c r="Q261" s="3151">
        <v>11895</v>
      </c>
      <c r="R261" s="3151">
        <v>918175</v>
      </c>
      <c r="S261" s="3151">
        <v>10521.893400000001</v>
      </c>
      <c r="T261" s="3151">
        <v>13174.517400000001</v>
      </c>
      <c r="U261" s="3151">
        <v>1016941</v>
      </c>
      <c r="V261" s="3151">
        <v>9500</v>
      </c>
      <c r="W261" s="3151">
        <v>11895</v>
      </c>
      <c r="X261" s="3151">
        <v>918175</v>
      </c>
      <c r="Y261" s="3152">
        <v>918175</v>
      </c>
      <c r="Z261" s="3152">
        <v>0</v>
      </c>
      <c r="AA261" s="3153"/>
      <c r="AB261" s="3151">
        <v>918175</v>
      </c>
      <c r="AC261" s="3154">
        <v>43819</v>
      </c>
      <c r="AD261" s="3154">
        <v>44269.483404594903</v>
      </c>
      <c r="AE261" s="3154">
        <v>43847.563430902774</v>
      </c>
      <c r="AF261" s="3154">
        <v>44302</v>
      </c>
      <c r="AG261" s="3154">
        <v>44302</v>
      </c>
      <c r="AH261" s="3154">
        <v>44321</v>
      </c>
      <c r="AI261" s="3154">
        <v>44334</v>
      </c>
      <c r="AJ261" s="3154">
        <v>44834</v>
      </c>
      <c r="AK261" s="3149"/>
      <c r="AL261" s="3154">
        <v>43814</v>
      </c>
      <c r="AM261" s="3149" t="s">
        <v>3416</v>
      </c>
      <c r="AN261" s="3149" t="s">
        <v>3738</v>
      </c>
      <c r="AO261" s="3149" t="s">
        <v>3498</v>
      </c>
      <c r="AP261" s="3149" t="s">
        <v>3499</v>
      </c>
      <c r="AQ261" s="3149" t="s">
        <v>3499</v>
      </c>
      <c r="AR261" s="3149" t="s">
        <v>3500</v>
      </c>
      <c r="AS261" s="3149" t="s">
        <v>3662</v>
      </c>
      <c r="AT261" s="3149"/>
    </row>
    <row r="262" spans="1:46" ht="33.75">
      <c r="A262" s="3149">
        <v>254</v>
      </c>
      <c r="B262" s="3149" t="s">
        <v>3488</v>
      </c>
      <c r="C262" s="3149" t="s">
        <v>3489</v>
      </c>
      <c r="D262" s="3149" t="s">
        <v>3490</v>
      </c>
      <c r="E262" s="3149" t="s">
        <v>3699</v>
      </c>
      <c r="F262" s="3149" t="s">
        <v>3546</v>
      </c>
      <c r="G262" s="3149" t="s">
        <v>3523</v>
      </c>
      <c r="H262" s="3149" t="s">
        <v>3494</v>
      </c>
      <c r="I262" s="3149" t="s">
        <v>114</v>
      </c>
      <c r="J262" s="3149" t="s">
        <v>3389</v>
      </c>
      <c r="K262" s="3149" t="s">
        <v>3496</v>
      </c>
      <c r="L262" s="3150">
        <v>96.65</v>
      </c>
      <c r="M262" s="3150">
        <v>77.19</v>
      </c>
      <c r="N262" s="3161">
        <v>96.65</v>
      </c>
      <c r="O262" s="3150">
        <v>77.19</v>
      </c>
      <c r="P262" s="3151">
        <v>9025</v>
      </c>
      <c r="Q262" s="3151">
        <v>11300.25</v>
      </c>
      <c r="R262" s="3151">
        <v>872266</v>
      </c>
      <c r="S262" s="3151">
        <v>10521.883099999999</v>
      </c>
      <c r="T262" s="3151">
        <v>13174.504499999999</v>
      </c>
      <c r="U262" s="3151">
        <v>1016940</v>
      </c>
      <c r="V262" s="3151">
        <v>9309.99</v>
      </c>
      <c r="W262" s="3151">
        <v>11657.09</v>
      </c>
      <c r="X262" s="3151">
        <v>899811</v>
      </c>
      <c r="Y262" s="3152">
        <v>899811</v>
      </c>
      <c r="Z262" s="3152">
        <v>0</v>
      </c>
      <c r="AA262" s="3153"/>
      <c r="AB262" s="3151">
        <v>899811</v>
      </c>
      <c r="AC262" s="3154">
        <v>43819</v>
      </c>
      <c r="AD262" s="3154">
        <v>44372.487411145834</v>
      </c>
      <c r="AE262" s="3154">
        <v>43847.563430902774</v>
      </c>
      <c r="AF262" s="3154">
        <v>44391</v>
      </c>
      <c r="AG262" s="3154">
        <v>44391</v>
      </c>
      <c r="AH262" s="3154">
        <v>44558</v>
      </c>
      <c r="AI262" s="3154">
        <v>44571</v>
      </c>
      <c r="AJ262" s="3154">
        <v>45199</v>
      </c>
      <c r="AK262" s="3149"/>
      <c r="AL262" s="3154">
        <v>43814</v>
      </c>
      <c r="AM262" s="3149" t="s">
        <v>3516</v>
      </c>
      <c r="AN262" s="3149" t="s">
        <v>3739</v>
      </c>
      <c r="AO262" s="3149" t="s">
        <v>3581</v>
      </c>
      <c r="AP262" s="3149" t="s">
        <v>3499</v>
      </c>
      <c r="AQ262" s="3149" t="s">
        <v>3499</v>
      </c>
      <c r="AR262" s="3149" t="s">
        <v>3519</v>
      </c>
      <c r="AS262" s="3149" t="s">
        <v>3520</v>
      </c>
      <c r="AT262" s="3149"/>
    </row>
    <row r="263" spans="1:46" ht="33.75">
      <c r="A263" s="3149">
        <v>255</v>
      </c>
      <c r="B263" s="3149" t="s">
        <v>3488</v>
      </c>
      <c r="C263" s="3149" t="s">
        <v>3489</v>
      </c>
      <c r="D263" s="3149" t="s">
        <v>3490</v>
      </c>
      <c r="E263" s="3149" t="s">
        <v>3699</v>
      </c>
      <c r="F263" s="3149" t="s">
        <v>3546</v>
      </c>
      <c r="G263" s="3149" t="s">
        <v>3525</v>
      </c>
      <c r="H263" s="3149" t="s">
        <v>3494</v>
      </c>
      <c r="I263" s="3149" t="s">
        <v>114</v>
      </c>
      <c r="J263" s="3149" t="s">
        <v>3389</v>
      </c>
      <c r="K263" s="3149" t="s">
        <v>3496</v>
      </c>
      <c r="L263" s="3150">
        <v>132.72</v>
      </c>
      <c r="M263" s="3150">
        <v>106</v>
      </c>
      <c r="N263" s="3161">
        <v>132.72</v>
      </c>
      <c r="O263" s="3150">
        <v>106</v>
      </c>
      <c r="P263" s="3151">
        <v>8550</v>
      </c>
      <c r="Q263" s="3151">
        <v>10705.25</v>
      </c>
      <c r="R263" s="3151">
        <v>1134756</v>
      </c>
      <c r="S263" s="3151">
        <v>9968.1057999999994</v>
      </c>
      <c r="T263" s="3151">
        <v>12480.8208</v>
      </c>
      <c r="U263" s="3151">
        <v>1322967</v>
      </c>
      <c r="V263" s="3151">
        <v>8550</v>
      </c>
      <c r="W263" s="3151">
        <v>10705.25</v>
      </c>
      <c r="X263" s="3151">
        <v>1134756</v>
      </c>
      <c r="Y263" s="3152">
        <v>1134756</v>
      </c>
      <c r="Z263" s="3152">
        <v>0</v>
      </c>
      <c r="AA263" s="3153"/>
      <c r="AB263" s="3151">
        <v>1134756</v>
      </c>
      <c r="AC263" s="3154">
        <v>43819</v>
      </c>
      <c r="AD263" s="3154">
        <v>44372.487411145834</v>
      </c>
      <c r="AE263" s="3154">
        <v>43847.563430902774</v>
      </c>
      <c r="AF263" s="3154">
        <v>44439</v>
      </c>
      <c r="AG263" s="3154">
        <v>44439</v>
      </c>
      <c r="AH263" s="3149"/>
      <c r="AI263" s="3149"/>
      <c r="AJ263" s="3154">
        <v>45199</v>
      </c>
      <c r="AK263" s="3149"/>
      <c r="AL263" s="3154">
        <v>43814</v>
      </c>
      <c r="AM263" s="3149" t="s">
        <v>3516</v>
      </c>
      <c r="AN263" s="3149" t="s">
        <v>3740</v>
      </c>
      <c r="AO263" s="3149" t="s">
        <v>3540</v>
      </c>
      <c r="AP263" s="3149" t="s">
        <v>3499</v>
      </c>
      <c r="AQ263" s="3149" t="s">
        <v>3499</v>
      </c>
      <c r="AR263" s="3149" t="s">
        <v>3519</v>
      </c>
      <c r="AS263" s="3149" t="s">
        <v>3520</v>
      </c>
      <c r="AT263" s="3149"/>
    </row>
    <row r="264" spans="1:46" ht="33.75">
      <c r="A264" s="3149">
        <v>256</v>
      </c>
      <c r="B264" s="3149" t="s">
        <v>3488</v>
      </c>
      <c r="C264" s="3149" t="s">
        <v>3489</v>
      </c>
      <c r="D264" s="3149" t="s">
        <v>3490</v>
      </c>
      <c r="E264" s="3149" t="s">
        <v>3699</v>
      </c>
      <c r="F264" s="3149" t="s">
        <v>3546</v>
      </c>
      <c r="G264" s="3149" t="s">
        <v>3528</v>
      </c>
      <c r="H264" s="3149" t="s">
        <v>3494</v>
      </c>
      <c r="I264" s="3149" t="s">
        <v>114</v>
      </c>
      <c r="J264" s="3149" t="s">
        <v>3389</v>
      </c>
      <c r="K264" s="3149" t="s">
        <v>3496</v>
      </c>
      <c r="L264" s="3150">
        <v>132.72</v>
      </c>
      <c r="M264" s="3150">
        <v>106</v>
      </c>
      <c r="N264" s="3161">
        <v>132.72</v>
      </c>
      <c r="O264" s="3150">
        <v>106</v>
      </c>
      <c r="P264" s="3151">
        <v>8550</v>
      </c>
      <c r="Q264" s="3151">
        <v>10705.25</v>
      </c>
      <c r="R264" s="3151">
        <v>1134756</v>
      </c>
      <c r="S264" s="3151">
        <v>9968.1057999999994</v>
      </c>
      <c r="T264" s="3151">
        <v>12480.8208</v>
      </c>
      <c r="U264" s="3151">
        <v>1322967</v>
      </c>
      <c r="V264" s="3151">
        <v>8550</v>
      </c>
      <c r="W264" s="3151">
        <v>10705.25</v>
      </c>
      <c r="X264" s="3151">
        <v>1134756</v>
      </c>
      <c r="Y264" s="3152">
        <v>1134756</v>
      </c>
      <c r="Z264" s="3152">
        <v>0</v>
      </c>
      <c r="AA264" s="3153"/>
      <c r="AB264" s="3151">
        <v>1134756</v>
      </c>
      <c r="AC264" s="3154">
        <v>43819</v>
      </c>
      <c r="AD264" s="3154">
        <v>44372.487411145834</v>
      </c>
      <c r="AE264" s="3154">
        <v>43847.563430902774</v>
      </c>
      <c r="AF264" s="3154">
        <v>44552</v>
      </c>
      <c r="AG264" s="3154">
        <v>44552</v>
      </c>
      <c r="AH264" s="3149"/>
      <c r="AI264" s="3149"/>
      <c r="AJ264" s="3154">
        <v>45199</v>
      </c>
      <c r="AK264" s="3149"/>
      <c r="AL264" s="3154">
        <v>43814</v>
      </c>
      <c r="AM264" s="3149" t="s">
        <v>3516</v>
      </c>
      <c r="AN264" s="3149" t="s">
        <v>3741</v>
      </c>
      <c r="AO264" s="3149" t="s">
        <v>3638</v>
      </c>
      <c r="AP264" s="3149" t="s">
        <v>3499</v>
      </c>
      <c r="AQ264" s="3149" t="s">
        <v>3499</v>
      </c>
      <c r="AR264" s="3149" t="s">
        <v>3519</v>
      </c>
      <c r="AS264" s="3149" t="s">
        <v>3520</v>
      </c>
      <c r="AT264" s="3149"/>
    </row>
    <row r="265" spans="1:46" ht="33.75">
      <c r="A265" s="3149">
        <v>257</v>
      </c>
      <c r="B265" s="3149" t="s">
        <v>3488</v>
      </c>
      <c r="C265" s="3149" t="s">
        <v>3489</v>
      </c>
      <c r="D265" s="3149" t="s">
        <v>3490</v>
      </c>
      <c r="E265" s="3149" t="s">
        <v>3742</v>
      </c>
      <c r="F265" s="3149" t="s">
        <v>3492</v>
      </c>
      <c r="G265" s="3149" t="s">
        <v>3493</v>
      </c>
      <c r="H265" s="3149" t="s">
        <v>3494</v>
      </c>
      <c r="I265" s="3149" t="s">
        <v>115</v>
      </c>
      <c r="J265" s="3149" t="s">
        <v>3389</v>
      </c>
      <c r="K265" s="3149" t="s">
        <v>3496</v>
      </c>
      <c r="L265" s="3150">
        <v>113.03</v>
      </c>
      <c r="M265" s="3150">
        <v>92.93</v>
      </c>
      <c r="N265" s="3161">
        <v>113.03</v>
      </c>
      <c r="O265" s="3150">
        <v>92.93</v>
      </c>
      <c r="P265" s="3151">
        <v>14019.95</v>
      </c>
      <c r="Q265" s="3151">
        <v>17052.349999999999</v>
      </c>
      <c r="R265" s="3151">
        <v>1584675</v>
      </c>
      <c r="S265" s="3151">
        <v>15726.515100000001</v>
      </c>
      <c r="T265" s="3151">
        <v>19128.031900000002</v>
      </c>
      <c r="U265" s="3151">
        <v>1777568</v>
      </c>
      <c r="V265" s="3151">
        <v>14500</v>
      </c>
      <c r="W265" s="3151">
        <v>17636.23</v>
      </c>
      <c r="X265" s="3151">
        <v>1638935</v>
      </c>
      <c r="Y265" s="3152">
        <v>1638935</v>
      </c>
      <c r="Z265" s="3152">
        <v>0</v>
      </c>
      <c r="AA265" s="3153"/>
      <c r="AB265" s="3151">
        <v>1638935</v>
      </c>
      <c r="AC265" s="3154">
        <v>43819</v>
      </c>
      <c r="AD265" s="3154">
        <v>43941.696851817127</v>
      </c>
      <c r="AE265" s="3154">
        <v>43847.56364158565</v>
      </c>
      <c r="AF265" s="3154">
        <v>43959</v>
      </c>
      <c r="AG265" s="3154">
        <v>43965</v>
      </c>
      <c r="AH265" s="3154">
        <v>44074</v>
      </c>
      <c r="AI265" s="3154">
        <v>44081</v>
      </c>
      <c r="AJ265" s="3154">
        <v>44834</v>
      </c>
      <c r="AK265" s="3149"/>
      <c r="AL265" s="3154">
        <v>43814</v>
      </c>
      <c r="AM265" s="3149" t="s">
        <v>3416</v>
      </c>
      <c r="AN265" s="3149" t="s">
        <v>3743</v>
      </c>
      <c r="AO265" s="3149" t="s">
        <v>3556</v>
      </c>
      <c r="AP265" s="3149" t="s">
        <v>3499</v>
      </c>
      <c r="AQ265" s="3149" t="s">
        <v>3499</v>
      </c>
      <c r="AR265" s="3149" t="s">
        <v>3505</v>
      </c>
      <c r="AS265" s="3149" t="s">
        <v>3506</v>
      </c>
      <c r="AT265" s="3149" t="s">
        <v>3507</v>
      </c>
    </row>
    <row r="266" spans="1:46" ht="33.75">
      <c r="A266" s="3149">
        <v>258</v>
      </c>
      <c r="B266" s="3149" t="s">
        <v>3488</v>
      </c>
      <c r="C266" s="3149" t="s">
        <v>3489</v>
      </c>
      <c r="D266" s="3149" t="s">
        <v>3490</v>
      </c>
      <c r="E266" s="3149" t="s">
        <v>3742</v>
      </c>
      <c r="F266" s="3149" t="s">
        <v>3492</v>
      </c>
      <c r="G266" s="3149" t="s">
        <v>3502</v>
      </c>
      <c r="H266" s="3149" t="s">
        <v>3494</v>
      </c>
      <c r="I266" s="3149" t="s">
        <v>115</v>
      </c>
      <c r="J266" s="3149" t="s">
        <v>3389</v>
      </c>
      <c r="K266" s="3149" t="s">
        <v>3496</v>
      </c>
      <c r="L266" s="3150">
        <v>113.03</v>
      </c>
      <c r="M266" s="3150">
        <v>92.93</v>
      </c>
      <c r="N266" s="3161">
        <v>113.03</v>
      </c>
      <c r="O266" s="3150">
        <v>92.93</v>
      </c>
      <c r="P266" s="3151">
        <v>12724.25</v>
      </c>
      <c r="Q266" s="3151">
        <v>15476.4</v>
      </c>
      <c r="R266" s="3151">
        <v>1438222</v>
      </c>
      <c r="S266" s="3151">
        <v>14362.620500000001</v>
      </c>
      <c r="T266" s="3151">
        <v>17469.1381</v>
      </c>
      <c r="U266" s="3151">
        <v>1623407</v>
      </c>
      <c r="V266" s="3151">
        <v>13363.45</v>
      </c>
      <c r="W266" s="3151">
        <v>16253.86</v>
      </c>
      <c r="X266" s="3151">
        <v>1510471</v>
      </c>
      <c r="Y266" s="3152">
        <v>1510471</v>
      </c>
      <c r="Z266" s="3152">
        <v>0</v>
      </c>
      <c r="AA266" s="3153"/>
      <c r="AB266" s="3151">
        <v>1510471</v>
      </c>
      <c r="AC266" s="3154">
        <v>43819</v>
      </c>
      <c r="AD266" s="3154">
        <v>43941.696851817127</v>
      </c>
      <c r="AE266" s="3154">
        <v>43847.56364158565</v>
      </c>
      <c r="AF266" s="3154">
        <v>44055</v>
      </c>
      <c r="AG266" s="3154">
        <v>44065</v>
      </c>
      <c r="AH266" s="3154">
        <v>44076</v>
      </c>
      <c r="AI266" s="3154">
        <v>44095</v>
      </c>
      <c r="AJ266" s="3154">
        <v>44834</v>
      </c>
      <c r="AK266" s="3149"/>
      <c r="AL266" s="3154">
        <v>43814</v>
      </c>
      <c r="AM266" s="3149" t="s">
        <v>3416</v>
      </c>
      <c r="AN266" s="3149" t="s">
        <v>3744</v>
      </c>
      <c r="AO266" s="3149" t="s">
        <v>3498</v>
      </c>
      <c r="AP266" s="3149" t="s">
        <v>3499</v>
      </c>
      <c r="AQ266" s="3149" t="s">
        <v>3499</v>
      </c>
      <c r="AR266" s="3149" t="s">
        <v>3500</v>
      </c>
      <c r="AS266" s="3149" t="s">
        <v>3501</v>
      </c>
      <c r="AT266" s="3149"/>
    </row>
    <row r="267" spans="1:46" ht="33.75">
      <c r="A267" s="3149">
        <v>259</v>
      </c>
      <c r="B267" s="3149" t="s">
        <v>3488</v>
      </c>
      <c r="C267" s="3149" t="s">
        <v>3489</v>
      </c>
      <c r="D267" s="3149" t="s">
        <v>3490</v>
      </c>
      <c r="E267" s="3149" t="s">
        <v>3742</v>
      </c>
      <c r="F267" s="3149" t="s">
        <v>3492</v>
      </c>
      <c r="G267" s="3149" t="s">
        <v>3508</v>
      </c>
      <c r="H267" s="3149" t="s">
        <v>3494</v>
      </c>
      <c r="I267" s="3149" t="s">
        <v>115</v>
      </c>
      <c r="J267" s="3149" t="s">
        <v>3389</v>
      </c>
      <c r="K267" s="3149" t="s">
        <v>3496</v>
      </c>
      <c r="L267" s="3150">
        <v>113.03</v>
      </c>
      <c r="M267" s="3150">
        <v>92.93</v>
      </c>
      <c r="N267" s="3161">
        <v>113.03</v>
      </c>
      <c r="O267" s="3150">
        <v>92.93</v>
      </c>
      <c r="P267" s="3151">
        <v>8835</v>
      </c>
      <c r="Q267" s="3151">
        <v>10745.94</v>
      </c>
      <c r="R267" s="3151">
        <v>998620</v>
      </c>
      <c r="S267" s="3151">
        <v>10300.3804</v>
      </c>
      <c r="T267" s="3151">
        <v>12528.268599999999</v>
      </c>
      <c r="U267" s="3151">
        <v>1164252</v>
      </c>
      <c r="V267" s="3151">
        <v>8835.01</v>
      </c>
      <c r="W267" s="3151">
        <v>10745.95</v>
      </c>
      <c r="X267" s="3151">
        <v>998621</v>
      </c>
      <c r="Y267" s="3152">
        <v>998621</v>
      </c>
      <c r="Z267" s="3152">
        <v>0</v>
      </c>
      <c r="AA267" s="3153"/>
      <c r="AB267" s="3151">
        <v>998621</v>
      </c>
      <c r="AC267" s="3154">
        <v>43819</v>
      </c>
      <c r="AD267" s="3154">
        <v>44372.487411145834</v>
      </c>
      <c r="AE267" s="3154">
        <v>43847.56364158565</v>
      </c>
      <c r="AF267" s="3154">
        <v>44559</v>
      </c>
      <c r="AG267" s="3154">
        <v>44559</v>
      </c>
      <c r="AH267" s="3149"/>
      <c r="AI267" s="3149"/>
      <c r="AJ267" s="3154">
        <v>45199</v>
      </c>
      <c r="AK267" s="3149"/>
      <c r="AL267" s="3154">
        <v>43814</v>
      </c>
      <c r="AM267" s="3149" t="s">
        <v>3516</v>
      </c>
      <c r="AN267" s="3149" t="s">
        <v>3745</v>
      </c>
      <c r="AO267" s="3149" t="s">
        <v>3504</v>
      </c>
      <c r="AP267" s="3149" t="s">
        <v>3499</v>
      </c>
      <c r="AQ267" s="3149" t="s">
        <v>3499</v>
      </c>
      <c r="AR267" s="3149" t="s">
        <v>3519</v>
      </c>
      <c r="AS267" s="3149" t="s">
        <v>3520</v>
      </c>
      <c r="AT267" s="3149"/>
    </row>
    <row r="268" spans="1:46" ht="33.75">
      <c r="A268" s="3149">
        <v>260</v>
      </c>
      <c r="B268" s="3149" t="s">
        <v>3488</v>
      </c>
      <c r="C268" s="3149" t="s">
        <v>3489</v>
      </c>
      <c r="D268" s="3149" t="s">
        <v>3490</v>
      </c>
      <c r="E268" s="3149" t="s">
        <v>3742</v>
      </c>
      <c r="F268" s="3149" t="s">
        <v>3492</v>
      </c>
      <c r="G268" s="3149" t="s">
        <v>3510</v>
      </c>
      <c r="H268" s="3149" t="s">
        <v>3494</v>
      </c>
      <c r="I268" s="3149" t="s">
        <v>115</v>
      </c>
      <c r="J268" s="3149" t="s">
        <v>3389</v>
      </c>
      <c r="K268" s="3149" t="s">
        <v>3496</v>
      </c>
      <c r="L268" s="3150">
        <v>113.03</v>
      </c>
      <c r="M268" s="3150">
        <v>92.93</v>
      </c>
      <c r="N268" s="3161">
        <v>113.03</v>
      </c>
      <c r="O268" s="3150">
        <v>92.93</v>
      </c>
      <c r="P268" s="3151">
        <v>8740</v>
      </c>
      <c r="Q268" s="3151">
        <v>10630.39</v>
      </c>
      <c r="R268" s="3151">
        <v>987882</v>
      </c>
      <c r="S268" s="3151">
        <v>10189.6222</v>
      </c>
      <c r="T268" s="3151">
        <v>12393.5543</v>
      </c>
      <c r="U268" s="3151">
        <v>1151733</v>
      </c>
      <c r="V268" s="3151">
        <v>8740.01</v>
      </c>
      <c r="W268" s="3151">
        <v>10630.4</v>
      </c>
      <c r="X268" s="3151">
        <v>987883</v>
      </c>
      <c r="Y268" s="3152">
        <v>987883</v>
      </c>
      <c r="Z268" s="3152">
        <v>0</v>
      </c>
      <c r="AA268" s="3153"/>
      <c r="AB268" s="3151">
        <v>987883</v>
      </c>
      <c r="AC268" s="3154">
        <v>43819</v>
      </c>
      <c r="AD268" s="3154">
        <v>44372.487411145834</v>
      </c>
      <c r="AE268" s="3154">
        <v>43847.56364158565</v>
      </c>
      <c r="AF268" s="3154">
        <v>44558</v>
      </c>
      <c r="AG268" s="3154">
        <v>44558</v>
      </c>
      <c r="AH268" s="3149"/>
      <c r="AI268" s="3149"/>
      <c r="AJ268" s="3154">
        <v>45199</v>
      </c>
      <c r="AK268" s="3149"/>
      <c r="AL268" s="3154">
        <v>43814</v>
      </c>
      <c r="AM268" s="3149" t="s">
        <v>3516</v>
      </c>
      <c r="AN268" s="3149" t="s">
        <v>3746</v>
      </c>
      <c r="AO268" s="3149" t="s">
        <v>3504</v>
      </c>
      <c r="AP268" s="3149" t="s">
        <v>3499</v>
      </c>
      <c r="AQ268" s="3149" t="s">
        <v>3499</v>
      </c>
      <c r="AR268" s="3149" t="s">
        <v>3519</v>
      </c>
      <c r="AS268" s="3149" t="s">
        <v>3520</v>
      </c>
      <c r="AT268" s="3149"/>
    </row>
    <row r="269" spans="1:46" ht="33.75">
      <c r="A269" s="3149">
        <v>261</v>
      </c>
      <c r="B269" s="3149" t="s">
        <v>3488</v>
      </c>
      <c r="C269" s="3149" t="s">
        <v>3489</v>
      </c>
      <c r="D269" s="3149" t="s">
        <v>3490</v>
      </c>
      <c r="E269" s="3149" t="s">
        <v>3742</v>
      </c>
      <c r="F269" s="3149" t="s">
        <v>3492</v>
      </c>
      <c r="G269" s="3149" t="s">
        <v>3511</v>
      </c>
      <c r="H269" s="3149" t="s">
        <v>3494</v>
      </c>
      <c r="I269" s="3149" t="s">
        <v>115</v>
      </c>
      <c r="J269" s="3149" t="s">
        <v>3389</v>
      </c>
      <c r="K269" s="3149" t="s">
        <v>3496</v>
      </c>
      <c r="L269" s="3150">
        <v>113.03</v>
      </c>
      <c r="M269" s="3150">
        <v>92.93</v>
      </c>
      <c r="N269" s="3161">
        <v>113.03</v>
      </c>
      <c r="O269" s="3150">
        <v>92.93</v>
      </c>
      <c r="P269" s="3151">
        <v>8882.5</v>
      </c>
      <c r="Q269" s="3151">
        <v>10803.71</v>
      </c>
      <c r="R269" s="3151">
        <v>1003989</v>
      </c>
      <c r="S269" s="3151">
        <v>10355.7551</v>
      </c>
      <c r="T269" s="3151">
        <v>12595.6204</v>
      </c>
      <c r="U269" s="3151">
        <v>1170511</v>
      </c>
      <c r="V269" s="3151">
        <v>8882.5</v>
      </c>
      <c r="W269" s="3151">
        <v>10803.71</v>
      </c>
      <c r="X269" s="3151">
        <v>1003989</v>
      </c>
      <c r="Y269" s="3152">
        <v>1003989</v>
      </c>
      <c r="Z269" s="3152">
        <v>0</v>
      </c>
      <c r="AA269" s="3153"/>
      <c r="AB269" s="3151">
        <v>1003989</v>
      </c>
      <c r="AC269" s="3154">
        <v>43819</v>
      </c>
      <c r="AD269" s="3154">
        <v>44372.487411145834</v>
      </c>
      <c r="AE269" s="3154">
        <v>43847.56364158565</v>
      </c>
      <c r="AF269" s="3154">
        <v>44503</v>
      </c>
      <c r="AG269" s="3154">
        <v>44503</v>
      </c>
      <c r="AH269" s="3149"/>
      <c r="AI269" s="3149"/>
      <c r="AJ269" s="3154">
        <v>45199</v>
      </c>
      <c r="AK269" s="3149"/>
      <c r="AL269" s="3154">
        <v>43814</v>
      </c>
      <c r="AM269" s="3149" t="s">
        <v>3516</v>
      </c>
      <c r="AN269" s="3149" t="s">
        <v>3747</v>
      </c>
      <c r="AO269" s="3149" t="s">
        <v>3498</v>
      </c>
      <c r="AP269" s="3149" t="s">
        <v>3499</v>
      </c>
      <c r="AQ269" s="3149" t="s">
        <v>3499</v>
      </c>
      <c r="AR269" s="3149" t="s">
        <v>3519</v>
      </c>
      <c r="AS269" s="3149" t="s">
        <v>3520</v>
      </c>
      <c r="AT269" s="3149"/>
    </row>
    <row r="270" spans="1:46" ht="33.75">
      <c r="A270" s="3149">
        <v>262</v>
      </c>
      <c r="B270" s="3149" t="s">
        <v>3488</v>
      </c>
      <c r="C270" s="3149" t="s">
        <v>3489</v>
      </c>
      <c r="D270" s="3149" t="s">
        <v>3490</v>
      </c>
      <c r="E270" s="3149" t="s">
        <v>3742</v>
      </c>
      <c r="F270" s="3149" t="s">
        <v>3492</v>
      </c>
      <c r="G270" s="3149" t="s">
        <v>3512</v>
      </c>
      <c r="H270" s="3149" t="s">
        <v>3509</v>
      </c>
      <c r="I270" s="3149" t="s">
        <v>115</v>
      </c>
      <c r="J270" s="3149" t="s">
        <v>3389</v>
      </c>
      <c r="K270" s="3149" t="s">
        <v>3496</v>
      </c>
      <c r="L270" s="3150">
        <v>113.03</v>
      </c>
      <c r="M270" s="3150">
        <v>92.93</v>
      </c>
      <c r="N270" s="3161">
        <v>113.03</v>
      </c>
      <c r="O270" s="3150">
        <v>92.93</v>
      </c>
      <c r="P270" s="3151">
        <v>5300</v>
      </c>
      <c r="Q270" s="3151">
        <v>6446.35</v>
      </c>
      <c r="R270" s="3151">
        <v>599059</v>
      </c>
      <c r="S270" s="3151">
        <v>5300</v>
      </c>
      <c r="T270" s="3151">
        <v>6446.3467000000001</v>
      </c>
      <c r="U270" s="3151">
        <v>599059</v>
      </c>
      <c r="V270" s="3153"/>
      <c r="W270" s="3153"/>
      <c r="X270" s="3153"/>
      <c r="Y270" s="3153"/>
      <c r="Z270" s="3152">
        <v>0</v>
      </c>
      <c r="AA270" s="3153"/>
      <c r="AB270" s="3151">
        <v>0</v>
      </c>
      <c r="AC270" s="3154">
        <v>43819</v>
      </c>
      <c r="AD270" s="3154">
        <v>45264.773614039354</v>
      </c>
      <c r="AE270" s="3154">
        <v>43847.56364158565</v>
      </c>
      <c r="AF270" s="3149"/>
      <c r="AG270" s="3149"/>
      <c r="AH270" s="3149"/>
      <c r="AI270" s="3149"/>
      <c r="AJ270" s="3149"/>
      <c r="AK270" s="3149"/>
      <c r="AL270" s="3154">
        <v>43814</v>
      </c>
      <c r="AM270" s="3149"/>
      <c r="AN270" s="3149"/>
      <c r="AO270" s="3149"/>
      <c r="AP270" s="3149"/>
      <c r="AQ270" s="3149"/>
      <c r="AR270" s="3149"/>
      <c r="AS270" s="3149"/>
      <c r="AT270" s="3149"/>
    </row>
    <row r="271" spans="1:46" ht="33.75">
      <c r="A271" s="3149">
        <v>263</v>
      </c>
      <c r="B271" s="3149" t="s">
        <v>3488</v>
      </c>
      <c r="C271" s="3149" t="s">
        <v>3489</v>
      </c>
      <c r="D271" s="3149" t="s">
        <v>3490</v>
      </c>
      <c r="E271" s="3149" t="s">
        <v>3742</v>
      </c>
      <c r="F271" s="3149" t="s">
        <v>3492</v>
      </c>
      <c r="G271" s="3149" t="s">
        <v>3513</v>
      </c>
      <c r="H271" s="3149" t="s">
        <v>3509</v>
      </c>
      <c r="I271" s="3149" t="s">
        <v>115</v>
      </c>
      <c r="J271" s="3149" t="s">
        <v>3389</v>
      </c>
      <c r="K271" s="3149" t="s">
        <v>3496</v>
      </c>
      <c r="L271" s="3150">
        <v>113.03</v>
      </c>
      <c r="M271" s="3150">
        <v>92.93</v>
      </c>
      <c r="N271" s="3161">
        <v>113.03</v>
      </c>
      <c r="O271" s="3150">
        <v>92.93</v>
      </c>
      <c r="P271" s="3151">
        <v>5300</v>
      </c>
      <c r="Q271" s="3151">
        <v>6446.35</v>
      </c>
      <c r="R271" s="3151">
        <v>599059</v>
      </c>
      <c r="S271" s="3151">
        <v>5300</v>
      </c>
      <c r="T271" s="3151">
        <v>6446.3467000000001</v>
      </c>
      <c r="U271" s="3151">
        <v>599059</v>
      </c>
      <c r="V271" s="3153"/>
      <c r="W271" s="3153"/>
      <c r="X271" s="3153"/>
      <c r="Y271" s="3153"/>
      <c r="Z271" s="3152">
        <v>0</v>
      </c>
      <c r="AA271" s="3153"/>
      <c r="AB271" s="3151">
        <v>0</v>
      </c>
      <c r="AC271" s="3154">
        <v>43819</v>
      </c>
      <c r="AD271" s="3154">
        <v>45264.773614039354</v>
      </c>
      <c r="AE271" s="3154">
        <v>43847.56364158565</v>
      </c>
      <c r="AF271" s="3149"/>
      <c r="AG271" s="3149"/>
      <c r="AH271" s="3149"/>
      <c r="AI271" s="3149"/>
      <c r="AJ271" s="3149"/>
      <c r="AK271" s="3149"/>
      <c r="AL271" s="3154">
        <v>43814</v>
      </c>
      <c r="AM271" s="3149"/>
      <c r="AN271" s="3149"/>
      <c r="AO271" s="3149"/>
      <c r="AP271" s="3149"/>
      <c r="AQ271" s="3149"/>
      <c r="AR271" s="3149"/>
      <c r="AS271" s="3149"/>
      <c r="AT271" s="3149"/>
    </row>
    <row r="272" spans="1:46" ht="33.75">
      <c r="A272" s="3149">
        <v>264</v>
      </c>
      <c r="B272" s="3149" t="s">
        <v>3488</v>
      </c>
      <c r="C272" s="3149" t="s">
        <v>3489</v>
      </c>
      <c r="D272" s="3149" t="s">
        <v>3490</v>
      </c>
      <c r="E272" s="3149" t="s">
        <v>3742</v>
      </c>
      <c r="F272" s="3149" t="s">
        <v>3492</v>
      </c>
      <c r="G272" s="3149" t="s">
        <v>3514</v>
      </c>
      <c r="H272" s="3149" t="s">
        <v>3494</v>
      </c>
      <c r="I272" s="3149" t="s">
        <v>115</v>
      </c>
      <c r="J272" s="3149" t="s">
        <v>3389</v>
      </c>
      <c r="K272" s="3149" t="s">
        <v>3496</v>
      </c>
      <c r="L272" s="3150">
        <v>113.03</v>
      </c>
      <c r="M272" s="3150">
        <v>92.93</v>
      </c>
      <c r="N272" s="3161">
        <v>113.03</v>
      </c>
      <c r="O272" s="3150">
        <v>92.93</v>
      </c>
      <c r="P272" s="3151">
        <v>8835</v>
      </c>
      <c r="Q272" s="3151">
        <v>10745.94</v>
      </c>
      <c r="R272" s="3151">
        <v>998620</v>
      </c>
      <c r="S272" s="3151">
        <v>10300.3804</v>
      </c>
      <c r="T272" s="3151">
        <v>12528.268599999999</v>
      </c>
      <c r="U272" s="3151">
        <v>1164252</v>
      </c>
      <c r="V272" s="3151">
        <v>8835.01</v>
      </c>
      <c r="W272" s="3151">
        <v>10745.95</v>
      </c>
      <c r="X272" s="3151">
        <v>998621</v>
      </c>
      <c r="Y272" s="3152">
        <v>998621</v>
      </c>
      <c r="Z272" s="3152">
        <v>0</v>
      </c>
      <c r="AA272" s="3153"/>
      <c r="AB272" s="3151">
        <v>998621</v>
      </c>
      <c r="AC272" s="3154">
        <v>43819</v>
      </c>
      <c r="AD272" s="3154">
        <v>44372.487411145834</v>
      </c>
      <c r="AE272" s="3154">
        <v>43847.56364158565</v>
      </c>
      <c r="AF272" s="3154">
        <v>44554</v>
      </c>
      <c r="AG272" s="3154">
        <v>44554</v>
      </c>
      <c r="AH272" s="3149"/>
      <c r="AI272" s="3149"/>
      <c r="AJ272" s="3154">
        <v>45199</v>
      </c>
      <c r="AK272" s="3149"/>
      <c r="AL272" s="3154">
        <v>43814</v>
      </c>
      <c r="AM272" s="3149" t="s">
        <v>3516</v>
      </c>
      <c r="AN272" s="3149" t="s">
        <v>3748</v>
      </c>
      <c r="AO272" s="3149" t="s">
        <v>3504</v>
      </c>
      <c r="AP272" s="3149" t="s">
        <v>3499</v>
      </c>
      <c r="AQ272" s="3149" t="s">
        <v>3499</v>
      </c>
      <c r="AR272" s="3149" t="s">
        <v>3519</v>
      </c>
      <c r="AS272" s="3149" t="s">
        <v>3520</v>
      </c>
      <c r="AT272" s="3149"/>
    </row>
    <row r="273" spans="1:46" ht="33.75">
      <c r="A273" s="3149">
        <v>265</v>
      </c>
      <c r="B273" s="3149" t="s">
        <v>3488</v>
      </c>
      <c r="C273" s="3149" t="s">
        <v>3489</v>
      </c>
      <c r="D273" s="3149" t="s">
        <v>3490</v>
      </c>
      <c r="E273" s="3149" t="s">
        <v>3742</v>
      </c>
      <c r="F273" s="3149" t="s">
        <v>3492</v>
      </c>
      <c r="G273" s="3149" t="s">
        <v>3515</v>
      </c>
      <c r="H273" s="3149" t="s">
        <v>3494</v>
      </c>
      <c r="I273" s="3149" t="s">
        <v>115</v>
      </c>
      <c r="J273" s="3149" t="s">
        <v>3389</v>
      </c>
      <c r="K273" s="3149" t="s">
        <v>3496</v>
      </c>
      <c r="L273" s="3150">
        <v>113.03</v>
      </c>
      <c r="M273" s="3150">
        <v>92.93</v>
      </c>
      <c r="N273" s="3161">
        <v>113.03</v>
      </c>
      <c r="O273" s="3150">
        <v>92.93</v>
      </c>
      <c r="P273" s="3151">
        <v>10500</v>
      </c>
      <c r="Q273" s="3151">
        <v>12771.06</v>
      </c>
      <c r="R273" s="3151">
        <v>1186815</v>
      </c>
      <c r="S273" s="3151">
        <v>10500</v>
      </c>
      <c r="T273" s="3151">
        <v>12771.064200000001</v>
      </c>
      <c r="U273" s="3151">
        <v>1186815</v>
      </c>
      <c r="V273" s="3151">
        <v>10500</v>
      </c>
      <c r="W273" s="3151">
        <v>12771.06</v>
      </c>
      <c r="X273" s="3151">
        <v>1186815</v>
      </c>
      <c r="Y273" s="3152">
        <v>1186815</v>
      </c>
      <c r="Z273" s="3152">
        <v>0</v>
      </c>
      <c r="AA273" s="3153"/>
      <c r="AB273" s="3151">
        <v>1186815</v>
      </c>
      <c r="AC273" s="3154">
        <v>43819</v>
      </c>
      <c r="AD273" s="3154">
        <v>43995.37337202546</v>
      </c>
      <c r="AE273" s="3154">
        <v>43847.56364158565</v>
      </c>
      <c r="AF273" s="3154">
        <v>44017</v>
      </c>
      <c r="AG273" s="3154">
        <v>44018</v>
      </c>
      <c r="AH273" s="3149"/>
      <c r="AI273" s="3149"/>
      <c r="AJ273" s="3154">
        <v>44834</v>
      </c>
      <c r="AK273" s="3149"/>
      <c r="AL273" s="3154">
        <v>43814</v>
      </c>
      <c r="AM273" s="3149" t="s">
        <v>3516</v>
      </c>
      <c r="AN273" s="3149" t="s">
        <v>3749</v>
      </c>
      <c r="AO273" s="3149" t="s">
        <v>3527</v>
      </c>
      <c r="AP273" s="3149" t="s">
        <v>3499</v>
      </c>
      <c r="AQ273" s="3149" t="s">
        <v>3499</v>
      </c>
      <c r="AR273" s="3149" t="s">
        <v>3519</v>
      </c>
      <c r="AS273" s="3149" t="s">
        <v>3520</v>
      </c>
      <c r="AT273" s="3149"/>
    </row>
    <row r="274" spans="1:46" ht="33.75">
      <c r="A274" s="3149">
        <v>266</v>
      </c>
      <c r="B274" s="3149" t="s">
        <v>3488</v>
      </c>
      <c r="C274" s="3149" t="s">
        <v>3489</v>
      </c>
      <c r="D274" s="3149" t="s">
        <v>3490</v>
      </c>
      <c r="E274" s="3149" t="s">
        <v>3742</v>
      </c>
      <c r="F274" s="3149" t="s">
        <v>3492</v>
      </c>
      <c r="G274" s="3149" t="s">
        <v>3521</v>
      </c>
      <c r="H274" s="3149" t="s">
        <v>3494</v>
      </c>
      <c r="I274" s="3149" t="s">
        <v>115</v>
      </c>
      <c r="J274" s="3149" t="s">
        <v>3389</v>
      </c>
      <c r="K274" s="3149" t="s">
        <v>3496</v>
      </c>
      <c r="L274" s="3150">
        <v>113.03</v>
      </c>
      <c r="M274" s="3150">
        <v>92.93</v>
      </c>
      <c r="N274" s="3161">
        <v>113.03</v>
      </c>
      <c r="O274" s="3150">
        <v>92.93</v>
      </c>
      <c r="P274" s="3151">
        <v>9880</v>
      </c>
      <c r="Q274" s="3151">
        <v>12016.96</v>
      </c>
      <c r="R274" s="3151">
        <v>1116736</v>
      </c>
      <c r="S274" s="3151">
        <v>10400</v>
      </c>
      <c r="T274" s="3151">
        <v>12649.435100000001</v>
      </c>
      <c r="U274" s="3151">
        <v>1175512</v>
      </c>
      <c r="V274" s="3151">
        <v>9880</v>
      </c>
      <c r="W274" s="3151">
        <v>12016.96</v>
      </c>
      <c r="X274" s="3151">
        <v>1116736</v>
      </c>
      <c r="Y274" s="3152">
        <v>1116736</v>
      </c>
      <c r="Z274" s="3152">
        <v>0</v>
      </c>
      <c r="AA274" s="3153"/>
      <c r="AB274" s="3151">
        <v>1116736</v>
      </c>
      <c r="AC274" s="3154">
        <v>43819</v>
      </c>
      <c r="AD274" s="3154">
        <v>44096.391653969906</v>
      </c>
      <c r="AE274" s="3154">
        <v>43847.56364158565</v>
      </c>
      <c r="AF274" s="3154">
        <v>44096</v>
      </c>
      <c r="AG274" s="3154">
        <v>44096</v>
      </c>
      <c r="AH274" s="3154">
        <v>44102</v>
      </c>
      <c r="AI274" s="3154">
        <v>44127</v>
      </c>
      <c r="AJ274" s="3154">
        <v>44834</v>
      </c>
      <c r="AK274" s="3149"/>
      <c r="AL274" s="3154">
        <v>43814</v>
      </c>
      <c r="AM274" s="3149" t="s">
        <v>3516</v>
      </c>
      <c r="AN274" s="3149" t="s">
        <v>3750</v>
      </c>
      <c r="AO274" s="3149" t="s">
        <v>3622</v>
      </c>
      <c r="AP274" s="3149" t="s">
        <v>3499</v>
      </c>
      <c r="AQ274" s="3149" t="s">
        <v>3499</v>
      </c>
      <c r="AR274" s="3149" t="s">
        <v>3519</v>
      </c>
      <c r="AS274" s="3149" t="s">
        <v>3520</v>
      </c>
      <c r="AT274" s="3149"/>
    </row>
    <row r="275" spans="1:46" ht="33.75">
      <c r="A275" s="3149">
        <v>267</v>
      </c>
      <c r="B275" s="3149" t="s">
        <v>3488</v>
      </c>
      <c r="C275" s="3149" t="s">
        <v>3489</v>
      </c>
      <c r="D275" s="3149" t="s">
        <v>3490</v>
      </c>
      <c r="E275" s="3149" t="s">
        <v>3742</v>
      </c>
      <c r="F275" s="3149" t="s">
        <v>3492</v>
      </c>
      <c r="G275" s="3149" t="s">
        <v>3522</v>
      </c>
      <c r="H275" s="3149" t="s">
        <v>3494</v>
      </c>
      <c r="I275" s="3149" t="s">
        <v>115</v>
      </c>
      <c r="J275" s="3149" t="s">
        <v>3389</v>
      </c>
      <c r="K275" s="3149" t="s">
        <v>3496</v>
      </c>
      <c r="L275" s="3150">
        <v>113.03</v>
      </c>
      <c r="M275" s="3150">
        <v>92.93</v>
      </c>
      <c r="N275" s="3161">
        <v>113.03</v>
      </c>
      <c r="O275" s="3150">
        <v>92.93</v>
      </c>
      <c r="P275" s="3151">
        <v>9120</v>
      </c>
      <c r="Q275" s="3151">
        <v>11092.59</v>
      </c>
      <c r="R275" s="3151">
        <v>1030834</v>
      </c>
      <c r="S275" s="3151">
        <v>10632.655000000001</v>
      </c>
      <c r="T275" s="3151">
        <v>12932.4115</v>
      </c>
      <c r="U275" s="3151">
        <v>1201809</v>
      </c>
      <c r="V275" s="3151">
        <v>9120.01</v>
      </c>
      <c r="W275" s="3151">
        <v>11092.6</v>
      </c>
      <c r="X275" s="3151">
        <v>1030835</v>
      </c>
      <c r="Y275" s="3152">
        <v>1030835</v>
      </c>
      <c r="Z275" s="3152">
        <v>0</v>
      </c>
      <c r="AA275" s="3153"/>
      <c r="AB275" s="3151">
        <v>1030835</v>
      </c>
      <c r="AC275" s="3154">
        <v>43819</v>
      </c>
      <c r="AD275" s="3154">
        <v>44554.592210648145</v>
      </c>
      <c r="AE275" s="3154">
        <v>43847.56364158565</v>
      </c>
      <c r="AF275" s="3154">
        <v>44600</v>
      </c>
      <c r="AG275" s="3154">
        <v>44600</v>
      </c>
      <c r="AH275" s="3149"/>
      <c r="AI275" s="3149"/>
      <c r="AJ275" s="3154">
        <v>45199</v>
      </c>
      <c r="AK275" s="3149"/>
      <c r="AL275" s="3154">
        <v>43814</v>
      </c>
      <c r="AM275" s="3149" t="s">
        <v>3516</v>
      </c>
      <c r="AN275" s="3149" t="s">
        <v>3751</v>
      </c>
      <c r="AO275" s="3149" t="s">
        <v>3498</v>
      </c>
      <c r="AP275" s="3149" t="s">
        <v>3499</v>
      </c>
      <c r="AQ275" s="3149" t="s">
        <v>3499</v>
      </c>
      <c r="AR275" s="3149" t="s">
        <v>3519</v>
      </c>
      <c r="AS275" s="3149" t="s">
        <v>3520</v>
      </c>
      <c r="AT275" s="3149"/>
    </row>
    <row r="276" spans="1:46" ht="33.75">
      <c r="A276" s="3149">
        <v>268</v>
      </c>
      <c r="B276" s="3149" t="s">
        <v>3488</v>
      </c>
      <c r="C276" s="3149" t="s">
        <v>3489</v>
      </c>
      <c r="D276" s="3149" t="s">
        <v>3490</v>
      </c>
      <c r="E276" s="3149" t="s">
        <v>3742</v>
      </c>
      <c r="F276" s="3149" t="s">
        <v>3492</v>
      </c>
      <c r="G276" s="3149" t="s">
        <v>3523</v>
      </c>
      <c r="H276" s="3149" t="s">
        <v>3494</v>
      </c>
      <c r="I276" s="3149" t="s">
        <v>115</v>
      </c>
      <c r="J276" s="3149" t="s">
        <v>3389</v>
      </c>
      <c r="K276" s="3149" t="s">
        <v>3496</v>
      </c>
      <c r="L276" s="3150">
        <v>113.03</v>
      </c>
      <c r="M276" s="3150">
        <v>92.93</v>
      </c>
      <c r="N276" s="3161">
        <v>113.03</v>
      </c>
      <c r="O276" s="3150">
        <v>92.93</v>
      </c>
      <c r="P276" s="3151">
        <v>9025</v>
      </c>
      <c r="Q276" s="3151">
        <v>10977.04</v>
      </c>
      <c r="R276" s="3151">
        <v>1020096</v>
      </c>
      <c r="S276" s="3151">
        <v>10521.8968</v>
      </c>
      <c r="T276" s="3151">
        <v>12797.697200000001</v>
      </c>
      <c r="U276" s="3151">
        <v>1189290</v>
      </c>
      <c r="V276" s="3151">
        <v>9025.01</v>
      </c>
      <c r="W276" s="3151">
        <v>10977.05</v>
      </c>
      <c r="X276" s="3151">
        <v>1020097</v>
      </c>
      <c r="Y276" s="3152">
        <v>1020097</v>
      </c>
      <c r="Z276" s="3152">
        <v>0</v>
      </c>
      <c r="AA276" s="3153"/>
      <c r="AB276" s="3151">
        <v>1020097</v>
      </c>
      <c r="AC276" s="3154">
        <v>43819</v>
      </c>
      <c r="AD276" s="3154">
        <v>44372.487411145834</v>
      </c>
      <c r="AE276" s="3154">
        <v>43847.56364158565</v>
      </c>
      <c r="AF276" s="3154">
        <v>44435</v>
      </c>
      <c r="AG276" s="3154">
        <v>44440</v>
      </c>
      <c r="AH276" s="3149"/>
      <c r="AI276" s="3149"/>
      <c r="AJ276" s="3154">
        <v>45199</v>
      </c>
      <c r="AK276" s="3149"/>
      <c r="AL276" s="3154">
        <v>43814</v>
      </c>
      <c r="AM276" s="3149" t="s">
        <v>3516</v>
      </c>
      <c r="AN276" s="3149" t="s">
        <v>3752</v>
      </c>
      <c r="AO276" s="3149" t="s">
        <v>3504</v>
      </c>
      <c r="AP276" s="3149" t="s">
        <v>3499</v>
      </c>
      <c r="AQ276" s="3149" t="s">
        <v>3499</v>
      </c>
      <c r="AR276" s="3149" t="s">
        <v>3519</v>
      </c>
      <c r="AS276" s="3149" t="s">
        <v>3520</v>
      </c>
      <c r="AT276" s="3149"/>
    </row>
    <row r="277" spans="1:46" ht="33.75">
      <c r="A277" s="3149">
        <v>269</v>
      </c>
      <c r="B277" s="3149" t="s">
        <v>3488</v>
      </c>
      <c r="C277" s="3149" t="s">
        <v>3489</v>
      </c>
      <c r="D277" s="3149" t="s">
        <v>3490</v>
      </c>
      <c r="E277" s="3149" t="s">
        <v>3742</v>
      </c>
      <c r="F277" s="3149" t="s">
        <v>3492</v>
      </c>
      <c r="G277" s="3149" t="s">
        <v>3525</v>
      </c>
      <c r="H277" s="3149" t="s">
        <v>3509</v>
      </c>
      <c r="I277" s="3149" t="s">
        <v>115</v>
      </c>
      <c r="J277" s="3149" t="s">
        <v>3389</v>
      </c>
      <c r="K277" s="3149" t="s">
        <v>3496</v>
      </c>
      <c r="L277" s="3150">
        <v>153.91999999999999</v>
      </c>
      <c r="M277" s="3150">
        <v>126.55</v>
      </c>
      <c r="N277" s="3161">
        <v>153.91999999999999</v>
      </c>
      <c r="O277" s="3150">
        <v>126.55</v>
      </c>
      <c r="P277" s="3151">
        <v>5500</v>
      </c>
      <c r="Q277" s="3151">
        <v>6689.53</v>
      </c>
      <c r="R277" s="3151">
        <v>846560</v>
      </c>
      <c r="S277" s="3151">
        <v>5500</v>
      </c>
      <c r="T277" s="3151">
        <v>6689.5298000000003</v>
      </c>
      <c r="U277" s="3151">
        <v>846560</v>
      </c>
      <c r="V277" s="3153"/>
      <c r="W277" s="3153"/>
      <c r="X277" s="3153"/>
      <c r="Y277" s="3153"/>
      <c r="Z277" s="3152">
        <v>0</v>
      </c>
      <c r="AA277" s="3153"/>
      <c r="AB277" s="3151">
        <v>0</v>
      </c>
      <c r="AC277" s="3154">
        <v>43819</v>
      </c>
      <c r="AD277" s="3154">
        <v>45264.773614039354</v>
      </c>
      <c r="AE277" s="3154">
        <v>43847.56364158565</v>
      </c>
      <c r="AF277" s="3149"/>
      <c r="AG277" s="3149"/>
      <c r="AH277" s="3149"/>
      <c r="AI277" s="3149"/>
      <c r="AJ277" s="3149"/>
      <c r="AK277" s="3149"/>
      <c r="AL277" s="3154">
        <v>43814</v>
      </c>
      <c r="AM277" s="3149"/>
      <c r="AN277" s="3149"/>
      <c r="AO277" s="3149"/>
      <c r="AP277" s="3149"/>
      <c r="AQ277" s="3149"/>
      <c r="AR277" s="3149"/>
      <c r="AS277" s="3149"/>
      <c r="AT277" s="3149"/>
    </row>
    <row r="278" spans="1:46" ht="33.75">
      <c r="A278" s="3149">
        <v>270</v>
      </c>
      <c r="B278" s="3149" t="s">
        <v>3488</v>
      </c>
      <c r="C278" s="3149" t="s">
        <v>3489</v>
      </c>
      <c r="D278" s="3149" t="s">
        <v>3490</v>
      </c>
      <c r="E278" s="3149" t="s">
        <v>3742</v>
      </c>
      <c r="F278" s="3149" t="s">
        <v>3492</v>
      </c>
      <c r="G278" s="3149" t="s">
        <v>3528</v>
      </c>
      <c r="H278" s="3149" t="s">
        <v>3494</v>
      </c>
      <c r="I278" s="3149" t="s">
        <v>115</v>
      </c>
      <c r="J278" s="3149" t="s">
        <v>3389</v>
      </c>
      <c r="K278" s="3149" t="s">
        <v>3496</v>
      </c>
      <c r="L278" s="3150">
        <v>153.91999999999999</v>
      </c>
      <c r="M278" s="3150">
        <v>126.55</v>
      </c>
      <c r="N278" s="3161">
        <v>153.91999999999999</v>
      </c>
      <c r="O278" s="3150">
        <v>126.55</v>
      </c>
      <c r="P278" s="3151">
        <v>8550</v>
      </c>
      <c r="Q278" s="3151">
        <v>10399.18</v>
      </c>
      <c r="R278" s="3151">
        <v>1316016</v>
      </c>
      <c r="S278" s="3151">
        <v>9968.1067999999996</v>
      </c>
      <c r="T278" s="3151">
        <v>12123.9905</v>
      </c>
      <c r="U278" s="3151">
        <v>1534291</v>
      </c>
      <c r="V278" s="3151">
        <v>8550.01</v>
      </c>
      <c r="W278" s="3151">
        <v>10399.19</v>
      </c>
      <c r="X278" s="3151">
        <v>1316017</v>
      </c>
      <c r="Y278" s="3152">
        <v>1316017</v>
      </c>
      <c r="Z278" s="3152">
        <v>0</v>
      </c>
      <c r="AA278" s="3153"/>
      <c r="AB278" s="3151">
        <v>1316017</v>
      </c>
      <c r="AC278" s="3154">
        <v>43819</v>
      </c>
      <c r="AD278" s="3154">
        <v>44372.487411145834</v>
      </c>
      <c r="AE278" s="3154">
        <v>43847.56364158565</v>
      </c>
      <c r="AF278" s="3154">
        <v>44740</v>
      </c>
      <c r="AG278" s="3154">
        <v>44741</v>
      </c>
      <c r="AH278" s="3149"/>
      <c r="AI278" s="3149"/>
      <c r="AJ278" s="3154">
        <v>45199</v>
      </c>
      <c r="AK278" s="3149"/>
      <c r="AL278" s="3154">
        <v>43814</v>
      </c>
      <c r="AM278" s="3149" t="s">
        <v>3516</v>
      </c>
      <c r="AN278" s="3149" t="s">
        <v>3753</v>
      </c>
      <c r="AO278" s="3149" t="s">
        <v>3498</v>
      </c>
      <c r="AP278" s="3149" t="s">
        <v>3499</v>
      </c>
      <c r="AQ278" s="3149" t="s">
        <v>3499</v>
      </c>
      <c r="AR278" s="3149" t="s">
        <v>3519</v>
      </c>
      <c r="AS278" s="3149" t="s">
        <v>3520</v>
      </c>
      <c r="AT278" s="3149"/>
    </row>
    <row r="279" spans="1:46" ht="33.75">
      <c r="A279" s="3149">
        <v>271</v>
      </c>
      <c r="B279" s="3149" t="s">
        <v>3488</v>
      </c>
      <c r="C279" s="3149" t="s">
        <v>3489</v>
      </c>
      <c r="D279" s="3149" t="s">
        <v>3490</v>
      </c>
      <c r="E279" s="3149" t="s">
        <v>3742</v>
      </c>
      <c r="F279" s="3149" t="s">
        <v>3538</v>
      </c>
      <c r="G279" s="3149" t="s">
        <v>3493</v>
      </c>
      <c r="H279" s="3149" t="s">
        <v>3494</v>
      </c>
      <c r="I279" s="3149" t="s">
        <v>115</v>
      </c>
      <c r="J279" s="3149" t="s">
        <v>3389</v>
      </c>
      <c r="K279" s="3149" t="s">
        <v>3496</v>
      </c>
      <c r="L279" s="3150">
        <v>113.03</v>
      </c>
      <c r="M279" s="3150">
        <v>92.93</v>
      </c>
      <c r="N279" s="3161">
        <v>113.03</v>
      </c>
      <c r="O279" s="3150">
        <v>92.93</v>
      </c>
      <c r="P279" s="3151">
        <v>12824.25</v>
      </c>
      <c r="Q279" s="3151">
        <v>15598.03</v>
      </c>
      <c r="R279" s="3151">
        <v>1449525</v>
      </c>
      <c r="S279" s="3151">
        <v>14467.884599999999</v>
      </c>
      <c r="T279" s="3151">
        <v>17597.169900000001</v>
      </c>
      <c r="U279" s="3151">
        <v>1635305</v>
      </c>
      <c r="V279" s="3151">
        <v>13464.5</v>
      </c>
      <c r="W279" s="3151">
        <v>16376.77</v>
      </c>
      <c r="X279" s="3151">
        <v>1521893</v>
      </c>
      <c r="Y279" s="3152">
        <v>1521893</v>
      </c>
      <c r="Z279" s="3152">
        <v>0</v>
      </c>
      <c r="AA279" s="3153"/>
      <c r="AB279" s="3151">
        <v>1521893</v>
      </c>
      <c r="AC279" s="3154">
        <v>43819</v>
      </c>
      <c r="AD279" s="3154">
        <v>43941.696851817127</v>
      </c>
      <c r="AE279" s="3154">
        <v>43847.56364158565</v>
      </c>
      <c r="AF279" s="3154">
        <v>43975</v>
      </c>
      <c r="AG279" s="3154">
        <v>43975</v>
      </c>
      <c r="AH279" s="3154">
        <v>44031</v>
      </c>
      <c r="AI279" s="3154">
        <v>44053</v>
      </c>
      <c r="AJ279" s="3154">
        <v>44834</v>
      </c>
      <c r="AK279" s="3149"/>
      <c r="AL279" s="3154">
        <v>43814</v>
      </c>
      <c r="AM279" s="3149" t="s">
        <v>3416</v>
      </c>
      <c r="AN279" s="3149" t="s">
        <v>3754</v>
      </c>
      <c r="AO279" s="3149" t="s">
        <v>3504</v>
      </c>
      <c r="AP279" s="3149" t="s">
        <v>3499</v>
      </c>
      <c r="AQ279" s="3149" t="s">
        <v>3499</v>
      </c>
      <c r="AR279" s="3149" t="s">
        <v>3505</v>
      </c>
      <c r="AS279" s="3149" t="s">
        <v>3506</v>
      </c>
      <c r="AT279" s="3149" t="s">
        <v>3507</v>
      </c>
    </row>
    <row r="280" spans="1:46" ht="33.75">
      <c r="A280" s="3149">
        <v>272</v>
      </c>
      <c r="B280" s="3149" t="s">
        <v>3488</v>
      </c>
      <c r="C280" s="3149" t="s">
        <v>3489</v>
      </c>
      <c r="D280" s="3149" t="s">
        <v>3490</v>
      </c>
      <c r="E280" s="3149" t="s">
        <v>3742</v>
      </c>
      <c r="F280" s="3149" t="s">
        <v>3538</v>
      </c>
      <c r="G280" s="3149" t="s">
        <v>3502</v>
      </c>
      <c r="H280" s="3149" t="s">
        <v>3494</v>
      </c>
      <c r="I280" s="3149" t="s">
        <v>115</v>
      </c>
      <c r="J280" s="3149" t="s">
        <v>3389</v>
      </c>
      <c r="K280" s="3149" t="s">
        <v>3496</v>
      </c>
      <c r="L280" s="3150">
        <v>113.03</v>
      </c>
      <c r="M280" s="3150">
        <v>92.93</v>
      </c>
      <c r="N280" s="3161">
        <v>113.03</v>
      </c>
      <c r="O280" s="3150">
        <v>92.93</v>
      </c>
      <c r="P280" s="3151">
        <v>12831.68</v>
      </c>
      <c r="Q280" s="3151">
        <v>15607.07</v>
      </c>
      <c r="R280" s="3151">
        <v>1450365</v>
      </c>
      <c r="S280" s="3151">
        <v>14475.705599999999</v>
      </c>
      <c r="T280" s="3151">
        <v>17606.682400000002</v>
      </c>
      <c r="U280" s="3151">
        <v>1636189</v>
      </c>
      <c r="V280" s="3151">
        <v>13612.34</v>
      </c>
      <c r="W280" s="3151">
        <v>16556.580000000002</v>
      </c>
      <c r="X280" s="3151">
        <v>1538603</v>
      </c>
      <c r="Y280" s="3152">
        <v>1538603</v>
      </c>
      <c r="Z280" s="3152">
        <v>0</v>
      </c>
      <c r="AA280" s="3153"/>
      <c r="AB280" s="3151">
        <v>1538603</v>
      </c>
      <c r="AC280" s="3154">
        <v>43819</v>
      </c>
      <c r="AD280" s="3154">
        <v>43941.696851817127</v>
      </c>
      <c r="AE280" s="3154">
        <v>43847.56364158565</v>
      </c>
      <c r="AF280" s="3154">
        <v>44024</v>
      </c>
      <c r="AG280" s="3154">
        <v>44028</v>
      </c>
      <c r="AH280" s="3154">
        <v>44036</v>
      </c>
      <c r="AI280" s="3154">
        <v>44053</v>
      </c>
      <c r="AJ280" s="3154">
        <v>44834</v>
      </c>
      <c r="AK280" s="3149"/>
      <c r="AL280" s="3154">
        <v>43814</v>
      </c>
      <c r="AM280" s="3149" t="s">
        <v>3416</v>
      </c>
      <c r="AN280" s="3149" t="s">
        <v>3755</v>
      </c>
      <c r="AO280" s="3149" t="s">
        <v>3552</v>
      </c>
      <c r="AP280" s="3149"/>
      <c r="AQ280" s="3149"/>
      <c r="AR280" s="3149" t="s">
        <v>3505</v>
      </c>
      <c r="AS280" s="3149" t="s">
        <v>3506</v>
      </c>
      <c r="AT280" s="3149" t="s">
        <v>3507</v>
      </c>
    </row>
    <row r="281" spans="1:46" ht="33.75">
      <c r="A281" s="3149">
        <v>273</v>
      </c>
      <c r="B281" s="3149" t="s">
        <v>3488</v>
      </c>
      <c r="C281" s="3149" t="s">
        <v>3489</v>
      </c>
      <c r="D281" s="3149" t="s">
        <v>3490</v>
      </c>
      <c r="E281" s="3149" t="s">
        <v>3742</v>
      </c>
      <c r="F281" s="3149" t="s">
        <v>3538</v>
      </c>
      <c r="G281" s="3149" t="s">
        <v>3508</v>
      </c>
      <c r="H281" s="3149" t="s">
        <v>3494</v>
      </c>
      <c r="I281" s="3149" t="s">
        <v>115</v>
      </c>
      <c r="J281" s="3149" t="s">
        <v>3389</v>
      </c>
      <c r="K281" s="3149" t="s">
        <v>3496</v>
      </c>
      <c r="L281" s="3150">
        <v>113.03</v>
      </c>
      <c r="M281" s="3150">
        <v>92.93</v>
      </c>
      <c r="N281" s="3161">
        <v>113.03</v>
      </c>
      <c r="O281" s="3150">
        <v>92.93</v>
      </c>
      <c r="P281" s="3151">
        <v>8740</v>
      </c>
      <c r="Q281" s="3151">
        <v>10630.39</v>
      </c>
      <c r="R281" s="3151">
        <v>987882</v>
      </c>
      <c r="S281" s="3151">
        <v>10189.6222</v>
      </c>
      <c r="T281" s="3151">
        <v>12393.5543</v>
      </c>
      <c r="U281" s="3151">
        <v>1151733</v>
      </c>
      <c r="V281" s="3151">
        <v>8740.01</v>
      </c>
      <c r="W281" s="3151">
        <v>10630.4</v>
      </c>
      <c r="X281" s="3151">
        <v>987883</v>
      </c>
      <c r="Y281" s="3152">
        <v>987883</v>
      </c>
      <c r="Z281" s="3152">
        <v>0</v>
      </c>
      <c r="AA281" s="3153"/>
      <c r="AB281" s="3151">
        <v>987883</v>
      </c>
      <c r="AC281" s="3154">
        <v>43819</v>
      </c>
      <c r="AD281" s="3154">
        <v>44372.487411145834</v>
      </c>
      <c r="AE281" s="3154">
        <v>43847.56364158565</v>
      </c>
      <c r="AF281" s="3154">
        <v>44554</v>
      </c>
      <c r="AG281" s="3154">
        <v>44554</v>
      </c>
      <c r="AH281" s="3149"/>
      <c r="AI281" s="3149"/>
      <c r="AJ281" s="3154">
        <v>45199</v>
      </c>
      <c r="AK281" s="3149"/>
      <c r="AL281" s="3154">
        <v>43814</v>
      </c>
      <c r="AM281" s="3149" t="s">
        <v>3516</v>
      </c>
      <c r="AN281" s="3149" t="s">
        <v>3637</v>
      </c>
      <c r="AO281" s="3149" t="s">
        <v>3498</v>
      </c>
      <c r="AP281" s="3149" t="s">
        <v>3499</v>
      </c>
      <c r="AQ281" s="3149" t="s">
        <v>3499</v>
      </c>
      <c r="AR281" s="3149" t="s">
        <v>3519</v>
      </c>
      <c r="AS281" s="3149" t="s">
        <v>3520</v>
      </c>
      <c r="AT281" s="3149"/>
    </row>
    <row r="282" spans="1:46" ht="33.75">
      <c r="A282" s="3149">
        <v>274</v>
      </c>
      <c r="B282" s="3149" t="s">
        <v>3488</v>
      </c>
      <c r="C282" s="3149" t="s">
        <v>3489</v>
      </c>
      <c r="D282" s="3149" t="s">
        <v>3490</v>
      </c>
      <c r="E282" s="3149" t="s">
        <v>3742</v>
      </c>
      <c r="F282" s="3149" t="s">
        <v>3538</v>
      </c>
      <c r="G282" s="3149" t="s">
        <v>3510</v>
      </c>
      <c r="H282" s="3149" t="s">
        <v>3494</v>
      </c>
      <c r="I282" s="3149" t="s">
        <v>115</v>
      </c>
      <c r="J282" s="3149" t="s">
        <v>3389</v>
      </c>
      <c r="K282" s="3149" t="s">
        <v>3496</v>
      </c>
      <c r="L282" s="3150">
        <v>113.03</v>
      </c>
      <c r="M282" s="3150">
        <v>92.93</v>
      </c>
      <c r="N282" s="3161">
        <v>113.03</v>
      </c>
      <c r="O282" s="3150">
        <v>92.93</v>
      </c>
      <c r="P282" s="3151">
        <v>8740</v>
      </c>
      <c r="Q282" s="3151">
        <v>10630.39</v>
      </c>
      <c r="R282" s="3151">
        <v>987882</v>
      </c>
      <c r="S282" s="3151">
        <v>10189.6222</v>
      </c>
      <c r="T282" s="3151">
        <v>12393.5543</v>
      </c>
      <c r="U282" s="3151">
        <v>1151733</v>
      </c>
      <c r="V282" s="3151">
        <v>8740.01</v>
      </c>
      <c r="W282" s="3151">
        <v>10630.4</v>
      </c>
      <c r="X282" s="3151">
        <v>987883</v>
      </c>
      <c r="Y282" s="3152">
        <v>987883</v>
      </c>
      <c r="Z282" s="3152">
        <v>0</v>
      </c>
      <c r="AA282" s="3153"/>
      <c r="AB282" s="3151">
        <v>987883</v>
      </c>
      <c r="AC282" s="3154">
        <v>43819</v>
      </c>
      <c r="AD282" s="3154">
        <v>44372.487411145834</v>
      </c>
      <c r="AE282" s="3154">
        <v>43847.56364158565</v>
      </c>
      <c r="AF282" s="3154">
        <v>44554</v>
      </c>
      <c r="AG282" s="3154">
        <v>44554</v>
      </c>
      <c r="AH282" s="3149"/>
      <c r="AI282" s="3149"/>
      <c r="AJ282" s="3154">
        <v>45199</v>
      </c>
      <c r="AK282" s="3149"/>
      <c r="AL282" s="3154">
        <v>43814</v>
      </c>
      <c r="AM282" s="3149" t="s">
        <v>3516</v>
      </c>
      <c r="AN282" s="3149" t="s">
        <v>3637</v>
      </c>
      <c r="AO282" s="3149" t="s">
        <v>3498</v>
      </c>
      <c r="AP282" s="3149" t="s">
        <v>3499</v>
      </c>
      <c r="AQ282" s="3149" t="s">
        <v>3499</v>
      </c>
      <c r="AR282" s="3149" t="s">
        <v>3519</v>
      </c>
      <c r="AS282" s="3149" t="s">
        <v>3520</v>
      </c>
      <c r="AT282" s="3149"/>
    </row>
    <row r="283" spans="1:46" ht="33.75">
      <c r="A283" s="3149">
        <v>275</v>
      </c>
      <c r="B283" s="3149" t="s">
        <v>3488</v>
      </c>
      <c r="C283" s="3149" t="s">
        <v>3489</v>
      </c>
      <c r="D283" s="3149" t="s">
        <v>3490</v>
      </c>
      <c r="E283" s="3149" t="s">
        <v>3742</v>
      </c>
      <c r="F283" s="3149" t="s">
        <v>3538</v>
      </c>
      <c r="G283" s="3149" t="s">
        <v>3511</v>
      </c>
      <c r="H283" s="3149" t="s">
        <v>3494</v>
      </c>
      <c r="I283" s="3149" t="s">
        <v>115</v>
      </c>
      <c r="J283" s="3149" t="s">
        <v>3389</v>
      </c>
      <c r="K283" s="3149" t="s">
        <v>3496</v>
      </c>
      <c r="L283" s="3150">
        <v>113.03</v>
      </c>
      <c r="M283" s="3150">
        <v>92.93</v>
      </c>
      <c r="N283" s="3161">
        <v>113.03</v>
      </c>
      <c r="O283" s="3150">
        <v>92.93</v>
      </c>
      <c r="P283" s="3151">
        <v>8787.5</v>
      </c>
      <c r="Q283" s="3151">
        <v>10688.16</v>
      </c>
      <c r="R283" s="3151">
        <v>993251</v>
      </c>
      <c r="S283" s="3151">
        <v>10244.9969</v>
      </c>
      <c r="T283" s="3151">
        <v>12460.9061</v>
      </c>
      <c r="U283" s="3151">
        <v>1157992</v>
      </c>
      <c r="V283" s="3151">
        <v>8787.5</v>
      </c>
      <c r="W283" s="3151">
        <v>10688.16</v>
      </c>
      <c r="X283" s="3151">
        <v>993251</v>
      </c>
      <c r="Y283" s="3152">
        <v>993251</v>
      </c>
      <c r="Z283" s="3152">
        <v>0</v>
      </c>
      <c r="AA283" s="3153"/>
      <c r="AB283" s="3151">
        <v>993251</v>
      </c>
      <c r="AC283" s="3154">
        <v>43819</v>
      </c>
      <c r="AD283" s="3154">
        <v>44372.487411145834</v>
      </c>
      <c r="AE283" s="3154">
        <v>43847.56364158565</v>
      </c>
      <c r="AF283" s="3154">
        <v>44498</v>
      </c>
      <c r="AG283" s="3154">
        <v>44498</v>
      </c>
      <c r="AH283" s="3154">
        <v>44936</v>
      </c>
      <c r="AI283" s="3154">
        <v>44965</v>
      </c>
      <c r="AJ283" s="3154">
        <v>45199</v>
      </c>
      <c r="AK283" s="3149"/>
      <c r="AL283" s="3154">
        <v>43814</v>
      </c>
      <c r="AM283" s="3149" t="s">
        <v>3516</v>
      </c>
      <c r="AN283" s="3149" t="s">
        <v>3756</v>
      </c>
      <c r="AO283" s="3149" t="s">
        <v>3540</v>
      </c>
      <c r="AP283" s="3149" t="s">
        <v>3499</v>
      </c>
      <c r="AQ283" s="3149" t="s">
        <v>3499</v>
      </c>
      <c r="AR283" s="3149" t="s">
        <v>3519</v>
      </c>
      <c r="AS283" s="3149" t="s">
        <v>3520</v>
      </c>
      <c r="AT283" s="3149"/>
    </row>
    <row r="284" spans="1:46" ht="33.75">
      <c r="A284" s="3149">
        <v>276</v>
      </c>
      <c r="B284" s="3149" t="s">
        <v>3488</v>
      </c>
      <c r="C284" s="3149" t="s">
        <v>3489</v>
      </c>
      <c r="D284" s="3149" t="s">
        <v>3490</v>
      </c>
      <c r="E284" s="3149" t="s">
        <v>3742</v>
      </c>
      <c r="F284" s="3149" t="s">
        <v>3538</v>
      </c>
      <c r="G284" s="3149" t="s">
        <v>3512</v>
      </c>
      <c r="H284" s="3149" t="s">
        <v>3494</v>
      </c>
      <c r="I284" s="3149" t="s">
        <v>115</v>
      </c>
      <c r="J284" s="3149" t="s">
        <v>3389</v>
      </c>
      <c r="K284" s="3149" t="s">
        <v>3496</v>
      </c>
      <c r="L284" s="3150">
        <v>113.03</v>
      </c>
      <c r="M284" s="3150">
        <v>92.93</v>
      </c>
      <c r="N284" s="3161">
        <v>113.03</v>
      </c>
      <c r="O284" s="3150">
        <v>92.93</v>
      </c>
      <c r="P284" s="3151">
        <v>9250</v>
      </c>
      <c r="Q284" s="3151">
        <v>11250.7</v>
      </c>
      <c r="R284" s="3151">
        <v>1045528</v>
      </c>
      <c r="S284" s="3151">
        <v>10245.005800000001</v>
      </c>
      <c r="T284" s="3151">
        <v>12460.916800000001</v>
      </c>
      <c r="U284" s="3151">
        <v>1157993</v>
      </c>
      <c r="V284" s="3151">
        <v>9300</v>
      </c>
      <c r="W284" s="3151">
        <v>11311.51</v>
      </c>
      <c r="X284" s="3151">
        <v>1051179</v>
      </c>
      <c r="Y284" s="3152">
        <v>1051179</v>
      </c>
      <c r="Z284" s="3152">
        <v>0</v>
      </c>
      <c r="AA284" s="3153"/>
      <c r="AB284" s="3151">
        <v>1051179</v>
      </c>
      <c r="AC284" s="3154">
        <v>43819</v>
      </c>
      <c r="AD284" s="3154">
        <v>44269.483404594903</v>
      </c>
      <c r="AE284" s="3154">
        <v>43847.56364158565</v>
      </c>
      <c r="AF284" s="3154">
        <v>44301</v>
      </c>
      <c r="AG284" s="3154">
        <v>44301</v>
      </c>
      <c r="AH284" s="3154">
        <v>44321</v>
      </c>
      <c r="AI284" s="3154">
        <v>44334</v>
      </c>
      <c r="AJ284" s="3154">
        <v>44834</v>
      </c>
      <c r="AK284" s="3149"/>
      <c r="AL284" s="3154">
        <v>43814</v>
      </c>
      <c r="AM284" s="3149" t="s">
        <v>3416</v>
      </c>
      <c r="AN284" s="3149" t="s">
        <v>3757</v>
      </c>
      <c r="AO284" s="3149" t="s">
        <v>3758</v>
      </c>
      <c r="AP284" s="3149" t="s">
        <v>3499</v>
      </c>
      <c r="AQ284" s="3149" t="s">
        <v>3499</v>
      </c>
      <c r="AR284" s="3149" t="s">
        <v>3500</v>
      </c>
      <c r="AS284" s="3149" t="s">
        <v>3501</v>
      </c>
      <c r="AT284" s="3149"/>
    </row>
    <row r="285" spans="1:46" ht="33.75">
      <c r="A285" s="3149">
        <v>277</v>
      </c>
      <c r="B285" s="3149" t="s">
        <v>3488</v>
      </c>
      <c r="C285" s="3149" t="s">
        <v>3489</v>
      </c>
      <c r="D285" s="3149" t="s">
        <v>3490</v>
      </c>
      <c r="E285" s="3149" t="s">
        <v>3742</v>
      </c>
      <c r="F285" s="3149" t="s">
        <v>3538</v>
      </c>
      <c r="G285" s="3149" t="s">
        <v>3513</v>
      </c>
      <c r="H285" s="3149" t="s">
        <v>3759</v>
      </c>
      <c r="I285" s="3149" t="s">
        <v>115</v>
      </c>
      <c r="J285" s="3149" t="s">
        <v>3389</v>
      </c>
      <c r="K285" s="3149" t="s">
        <v>3496</v>
      </c>
      <c r="L285" s="3150">
        <v>113.03</v>
      </c>
      <c r="M285" s="3150">
        <v>92.93</v>
      </c>
      <c r="N285" s="3161">
        <v>113.03</v>
      </c>
      <c r="O285" s="3150">
        <v>92.93</v>
      </c>
      <c r="P285" s="3151">
        <v>8835</v>
      </c>
      <c r="Q285" s="3151">
        <v>10745.94</v>
      </c>
      <c r="R285" s="3151">
        <v>998620</v>
      </c>
      <c r="S285" s="3151">
        <v>10300.3804</v>
      </c>
      <c r="T285" s="3151">
        <v>12528.268599999999</v>
      </c>
      <c r="U285" s="3151">
        <v>1164252</v>
      </c>
      <c r="V285" s="3151">
        <v>10300.379999999999</v>
      </c>
      <c r="W285" s="3151">
        <v>12528.27</v>
      </c>
      <c r="X285" s="3151">
        <v>1164252</v>
      </c>
      <c r="Y285" s="3152">
        <v>1164252</v>
      </c>
      <c r="Z285" s="3152">
        <v>0</v>
      </c>
      <c r="AA285" s="3153"/>
      <c r="AB285" s="3151">
        <v>0</v>
      </c>
      <c r="AC285" s="3154">
        <v>43819</v>
      </c>
      <c r="AD285" s="3154">
        <v>44372.487411145834</v>
      </c>
      <c r="AE285" s="3154">
        <v>43847.56364158565</v>
      </c>
      <c r="AF285" s="3154">
        <v>44469</v>
      </c>
      <c r="AG285" s="3149"/>
      <c r="AH285" s="3149"/>
      <c r="AI285" s="3149"/>
      <c r="AJ285" s="3149"/>
      <c r="AK285" s="3149"/>
      <c r="AL285" s="3154">
        <v>43814</v>
      </c>
      <c r="AM285" s="3149" t="s">
        <v>3516</v>
      </c>
      <c r="AN285" s="3149" t="s">
        <v>3760</v>
      </c>
      <c r="AO285" s="3149" t="s">
        <v>3638</v>
      </c>
      <c r="AP285" s="3149"/>
      <c r="AQ285" s="3149"/>
      <c r="AR285" s="3149" t="s">
        <v>3519</v>
      </c>
      <c r="AS285" s="3149" t="s">
        <v>3520</v>
      </c>
      <c r="AT285" s="3149"/>
    </row>
    <row r="286" spans="1:46" ht="33.75">
      <c r="A286" s="3149">
        <v>278</v>
      </c>
      <c r="B286" s="3149" t="s">
        <v>3488</v>
      </c>
      <c r="C286" s="3149" t="s">
        <v>3489</v>
      </c>
      <c r="D286" s="3149" t="s">
        <v>3490</v>
      </c>
      <c r="E286" s="3149" t="s">
        <v>3742</v>
      </c>
      <c r="F286" s="3149" t="s">
        <v>3538</v>
      </c>
      <c r="G286" s="3149" t="s">
        <v>3514</v>
      </c>
      <c r="H286" s="3149" t="s">
        <v>3509</v>
      </c>
      <c r="I286" s="3149" t="s">
        <v>115</v>
      </c>
      <c r="J286" s="3149" t="s">
        <v>3389</v>
      </c>
      <c r="K286" s="3149" t="s">
        <v>3496</v>
      </c>
      <c r="L286" s="3150">
        <v>113.03</v>
      </c>
      <c r="M286" s="3150">
        <v>92.93</v>
      </c>
      <c r="N286" s="3161">
        <v>113.03</v>
      </c>
      <c r="O286" s="3150">
        <v>92.93</v>
      </c>
      <c r="P286" s="3151">
        <v>5300</v>
      </c>
      <c r="Q286" s="3151">
        <v>6446.35</v>
      </c>
      <c r="R286" s="3151">
        <v>599059</v>
      </c>
      <c r="S286" s="3151">
        <v>5300</v>
      </c>
      <c r="T286" s="3151">
        <v>6446.3467000000001</v>
      </c>
      <c r="U286" s="3151">
        <v>599059</v>
      </c>
      <c r="V286" s="3153"/>
      <c r="W286" s="3153"/>
      <c r="X286" s="3153"/>
      <c r="Y286" s="3153"/>
      <c r="Z286" s="3152">
        <v>0</v>
      </c>
      <c r="AA286" s="3153"/>
      <c r="AB286" s="3151">
        <v>0</v>
      </c>
      <c r="AC286" s="3154">
        <v>43819</v>
      </c>
      <c r="AD286" s="3154">
        <v>45264.773614039354</v>
      </c>
      <c r="AE286" s="3154">
        <v>43847.56364158565</v>
      </c>
      <c r="AF286" s="3149"/>
      <c r="AG286" s="3149"/>
      <c r="AH286" s="3149"/>
      <c r="AI286" s="3149"/>
      <c r="AJ286" s="3149"/>
      <c r="AK286" s="3149"/>
      <c r="AL286" s="3154">
        <v>43814</v>
      </c>
      <c r="AM286" s="3149"/>
      <c r="AN286" s="3149"/>
      <c r="AO286" s="3149"/>
      <c r="AP286" s="3149"/>
      <c r="AQ286" s="3149"/>
      <c r="AR286" s="3149"/>
      <c r="AS286" s="3149"/>
      <c r="AT286" s="3149"/>
    </row>
    <row r="287" spans="1:46" ht="33.75">
      <c r="A287" s="3149">
        <v>279</v>
      </c>
      <c r="B287" s="3149" t="s">
        <v>3488</v>
      </c>
      <c r="C287" s="3149" t="s">
        <v>3489</v>
      </c>
      <c r="D287" s="3149" t="s">
        <v>3490</v>
      </c>
      <c r="E287" s="3149" t="s">
        <v>3742</v>
      </c>
      <c r="F287" s="3149" t="s">
        <v>3538</v>
      </c>
      <c r="G287" s="3149" t="s">
        <v>3515</v>
      </c>
      <c r="H287" s="3149" t="s">
        <v>3494</v>
      </c>
      <c r="I287" s="3149" t="s">
        <v>115</v>
      </c>
      <c r="J287" s="3149" t="s">
        <v>3389</v>
      </c>
      <c r="K287" s="3149" t="s">
        <v>3496</v>
      </c>
      <c r="L287" s="3150">
        <v>113.03</v>
      </c>
      <c r="M287" s="3150">
        <v>92.93</v>
      </c>
      <c r="N287" s="3161">
        <v>113.03</v>
      </c>
      <c r="O287" s="3150">
        <v>92.93</v>
      </c>
      <c r="P287" s="3151">
        <v>8930</v>
      </c>
      <c r="Q287" s="3151">
        <v>10861.49</v>
      </c>
      <c r="R287" s="3151">
        <v>1009358</v>
      </c>
      <c r="S287" s="3151">
        <v>10411.1386</v>
      </c>
      <c r="T287" s="3151">
        <v>12662.982900000001</v>
      </c>
      <c r="U287" s="3151">
        <v>1176771</v>
      </c>
      <c r="V287" s="3151">
        <v>8930.01</v>
      </c>
      <c r="W287" s="3151">
        <v>10861.5</v>
      </c>
      <c r="X287" s="3151">
        <v>1009359</v>
      </c>
      <c r="Y287" s="3152">
        <v>1009359</v>
      </c>
      <c r="Z287" s="3152">
        <v>0</v>
      </c>
      <c r="AA287" s="3153"/>
      <c r="AB287" s="3151">
        <v>1009359</v>
      </c>
      <c r="AC287" s="3154">
        <v>43819</v>
      </c>
      <c r="AD287" s="3154">
        <v>44372.487411145834</v>
      </c>
      <c r="AE287" s="3154">
        <v>43847.56364158565</v>
      </c>
      <c r="AF287" s="3154">
        <v>44533</v>
      </c>
      <c r="AG287" s="3154">
        <v>44533</v>
      </c>
      <c r="AH287" s="3154">
        <v>45226</v>
      </c>
      <c r="AI287" s="3149"/>
      <c r="AJ287" s="3154">
        <v>45199</v>
      </c>
      <c r="AK287" s="3149"/>
      <c r="AL287" s="3154">
        <v>43814</v>
      </c>
      <c r="AM287" s="3149" t="s">
        <v>3516</v>
      </c>
      <c r="AN287" s="3149" t="s">
        <v>3761</v>
      </c>
      <c r="AO287" s="3149" t="s">
        <v>3518</v>
      </c>
      <c r="AP287" s="3149" t="s">
        <v>3499</v>
      </c>
      <c r="AQ287" s="3149" t="s">
        <v>3499</v>
      </c>
      <c r="AR287" s="3149" t="s">
        <v>3519</v>
      </c>
      <c r="AS287" s="3149" t="s">
        <v>3520</v>
      </c>
      <c r="AT287" s="3149"/>
    </row>
    <row r="288" spans="1:46" ht="33.75">
      <c r="A288" s="3149">
        <v>280</v>
      </c>
      <c r="B288" s="3149" t="s">
        <v>3488</v>
      </c>
      <c r="C288" s="3149" t="s">
        <v>3489</v>
      </c>
      <c r="D288" s="3149" t="s">
        <v>3490</v>
      </c>
      <c r="E288" s="3149" t="s">
        <v>3742</v>
      </c>
      <c r="F288" s="3149" t="s">
        <v>3538</v>
      </c>
      <c r="G288" s="3149" t="s">
        <v>3521</v>
      </c>
      <c r="H288" s="3149" t="s">
        <v>3494</v>
      </c>
      <c r="I288" s="3149" t="s">
        <v>115</v>
      </c>
      <c r="J288" s="3149" t="s">
        <v>3389</v>
      </c>
      <c r="K288" s="3149" t="s">
        <v>3496</v>
      </c>
      <c r="L288" s="3150">
        <v>113.03</v>
      </c>
      <c r="M288" s="3150">
        <v>92.93</v>
      </c>
      <c r="N288" s="3161">
        <v>113.03</v>
      </c>
      <c r="O288" s="3150">
        <v>92.93</v>
      </c>
      <c r="P288" s="3151">
        <v>8600</v>
      </c>
      <c r="Q288" s="3151">
        <v>10460.11</v>
      </c>
      <c r="R288" s="3151">
        <v>972058</v>
      </c>
      <c r="S288" s="3151">
        <v>10026.400100000001</v>
      </c>
      <c r="T288" s="3151">
        <v>12195.0285</v>
      </c>
      <c r="U288" s="3151">
        <v>1133284</v>
      </c>
      <c r="V288" s="3151">
        <v>8600</v>
      </c>
      <c r="W288" s="3151">
        <v>10460.11</v>
      </c>
      <c r="X288" s="3151">
        <v>972058</v>
      </c>
      <c r="Y288" s="3152">
        <v>972058</v>
      </c>
      <c r="Z288" s="3152">
        <v>0</v>
      </c>
      <c r="AA288" s="3153"/>
      <c r="AB288" s="3151">
        <v>972058</v>
      </c>
      <c r="AC288" s="3154">
        <v>43819</v>
      </c>
      <c r="AD288" s="3154">
        <v>44372.487411145834</v>
      </c>
      <c r="AE288" s="3154">
        <v>43847.56364158565</v>
      </c>
      <c r="AF288" s="3154">
        <v>44439</v>
      </c>
      <c r="AG288" s="3154">
        <v>44511</v>
      </c>
      <c r="AH288" s="3149"/>
      <c r="AI288" s="3149"/>
      <c r="AJ288" s="3154">
        <v>45199</v>
      </c>
      <c r="AK288" s="3149"/>
      <c r="AL288" s="3154">
        <v>43814</v>
      </c>
      <c r="AM288" s="3149" t="s">
        <v>3516</v>
      </c>
      <c r="AN288" s="3149" t="s">
        <v>3762</v>
      </c>
      <c r="AO288" s="3149" t="s">
        <v>3518</v>
      </c>
      <c r="AP288" s="3149" t="s">
        <v>3499</v>
      </c>
      <c r="AQ288" s="3149" t="s">
        <v>3499</v>
      </c>
      <c r="AR288" s="3149" t="s">
        <v>3519</v>
      </c>
      <c r="AS288" s="3149" t="s">
        <v>3520</v>
      </c>
      <c r="AT288" s="3149"/>
    </row>
    <row r="289" spans="1:46" ht="33.75">
      <c r="A289" s="3149">
        <v>281</v>
      </c>
      <c r="B289" s="3149" t="s">
        <v>3488</v>
      </c>
      <c r="C289" s="3149" t="s">
        <v>3489</v>
      </c>
      <c r="D289" s="3149" t="s">
        <v>3490</v>
      </c>
      <c r="E289" s="3149" t="s">
        <v>3742</v>
      </c>
      <c r="F289" s="3149" t="s">
        <v>3538</v>
      </c>
      <c r="G289" s="3149" t="s">
        <v>3522</v>
      </c>
      <c r="H289" s="3149" t="s">
        <v>3509</v>
      </c>
      <c r="I289" s="3149" t="s">
        <v>115</v>
      </c>
      <c r="J289" s="3149" t="s">
        <v>3389</v>
      </c>
      <c r="K289" s="3149" t="s">
        <v>3496</v>
      </c>
      <c r="L289" s="3150">
        <v>113.03</v>
      </c>
      <c r="M289" s="3150">
        <v>92.93</v>
      </c>
      <c r="N289" s="3161">
        <v>113.03</v>
      </c>
      <c r="O289" s="3150">
        <v>92.93</v>
      </c>
      <c r="P289" s="3151">
        <v>5500</v>
      </c>
      <c r="Q289" s="3151">
        <v>6689.61</v>
      </c>
      <c r="R289" s="3151">
        <v>621665</v>
      </c>
      <c r="S289" s="3151">
        <v>5500</v>
      </c>
      <c r="T289" s="3151">
        <v>6689.6050999999998</v>
      </c>
      <c r="U289" s="3151">
        <v>621665</v>
      </c>
      <c r="V289" s="3153"/>
      <c r="W289" s="3153"/>
      <c r="X289" s="3153"/>
      <c r="Y289" s="3153"/>
      <c r="Z289" s="3152">
        <v>0</v>
      </c>
      <c r="AA289" s="3153"/>
      <c r="AB289" s="3151">
        <v>0</v>
      </c>
      <c r="AC289" s="3154">
        <v>43819</v>
      </c>
      <c r="AD289" s="3154">
        <v>45264.773614039354</v>
      </c>
      <c r="AE289" s="3154">
        <v>43847.56364158565</v>
      </c>
      <c r="AF289" s="3149"/>
      <c r="AG289" s="3149"/>
      <c r="AH289" s="3149"/>
      <c r="AI289" s="3149"/>
      <c r="AJ289" s="3149"/>
      <c r="AK289" s="3149"/>
      <c r="AL289" s="3154">
        <v>43814</v>
      </c>
      <c r="AM289" s="3149"/>
      <c r="AN289" s="3149"/>
      <c r="AO289" s="3149"/>
      <c r="AP289" s="3149"/>
      <c r="AQ289" s="3149"/>
      <c r="AR289" s="3149"/>
      <c r="AS289" s="3149"/>
      <c r="AT289" s="3149"/>
    </row>
    <row r="290" spans="1:46" ht="33.75">
      <c r="A290" s="3149">
        <v>282</v>
      </c>
      <c r="B290" s="3149" t="s">
        <v>3488</v>
      </c>
      <c r="C290" s="3149" t="s">
        <v>3489</v>
      </c>
      <c r="D290" s="3149" t="s">
        <v>3490</v>
      </c>
      <c r="E290" s="3149" t="s">
        <v>3742</v>
      </c>
      <c r="F290" s="3149" t="s">
        <v>3538</v>
      </c>
      <c r="G290" s="3149" t="s">
        <v>3523</v>
      </c>
      <c r="H290" s="3149" t="s">
        <v>3494</v>
      </c>
      <c r="I290" s="3149" t="s">
        <v>115</v>
      </c>
      <c r="J290" s="3149" t="s">
        <v>3389</v>
      </c>
      <c r="K290" s="3149" t="s">
        <v>3496</v>
      </c>
      <c r="L290" s="3150">
        <v>113.03</v>
      </c>
      <c r="M290" s="3150">
        <v>92.93</v>
      </c>
      <c r="N290" s="3161">
        <v>113.03</v>
      </c>
      <c r="O290" s="3150">
        <v>92.93</v>
      </c>
      <c r="P290" s="3151">
        <v>9500</v>
      </c>
      <c r="Q290" s="3151">
        <v>11554.77</v>
      </c>
      <c r="R290" s="3151">
        <v>1073785</v>
      </c>
      <c r="S290" s="3151">
        <v>10521.888000000001</v>
      </c>
      <c r="T290" s="3151">
        <v>12797.686400000001</v>
      </c>
      <c r="U290" s="3151">
        <v>1189289</v>
      </c>
      <c r="V290" s="3151">
        <v>9500</v>
      </c>
      <c r="W290" s="3151">
        <v>11554.77</v>
      </c>
      <c r="X290" s="3151">
        <v>1073785</v>
      </c>
      <c r="Y290" s="3152">
        <v>1073785</v>
      </c>
      <c r="Z290" s="3152">
        <v>0</v>
      </c>
      <c r="AA290" s="3153"/>
      <c r="AB290" s="3151">
        <v>1073785</v>
      </c>
      <c r="AC290" s="3154">
        <v>43819</v>
      </c>
      <c r="AD290" s="3154">
        <v>44269.483404594903</v>
      </c>
      <c r="AE290" s="3154">
        <v>43847.56364158565</v>
      </c>
      <c r="AF290" s="3154">
        <v>44316</v>
      </c>
      <c r="AG290" s="3154">
        <v>44316</v>
      </c>
      <c r="AH290" s="3154">
        <v>44349</v>
      </c>
      <c r="AI290" s="3154">
        <v>44357</v>
      </c>
      <c r="AJ290" s="3154">
        <v>44834</v>
      </c>
      <c r="AK290" s="3149"/>
      <c r="AL290" s="3154">
        <v>43814</v>
      </c>
      <c r="AM290" s="3149" t="s">
        <v>3416</v>
      </c>
      <c r="AN290" s="3149" t="s">
        <v>3763</v>
      </c>
      <c r="AO290" s="3149" t="s">
        <v>3581</v>
      </c>
      <c r="AP290" s="3149" t="s">
        <v>3499</v>
      </c>
      <c r="AQ290" s="3149" t="s">
        <v>3499</v>
      </c>
      <c r="AR290" s="3149" t="s">
        <v>3500</v>
      </c>
      <c r="AS290" s="3149" t="s">
        <v>3501</v>
      </c>
      <c r="AT290" s="3149"/>
    </row>
    <row r="291" spans="1:46" ht="33.75">
      <c r="A291" s="3149">
        <v>283</v>
      </c>
      <c r="B291" s="3149" t="s">
        <v>3488</v>
      </c>
      <c r="C291" s="3149" t="s">
        <v>3489</v>
      </c>
      <c r="D291" s="3149" t="s">
        <v>3490</v>
      </c>
      <c r="E291" s="3149" t="s">
        <v>3742</v>
      </c>
      <c r="F291" s="3149" t="s">
        <v>3538</v>
      </c>
      <c r="G291" s="3149" t="s">
        <v>3525</v>
      </c>
      <c r="H291" s="3149" t="s">
        <v>3494</v>
      </c>
      <c r="I291" s="3149" t="s">
        <v>115</v>
      </c>
      <c r="J291" s="3149" t="s">
        <v>3389</v>
      </c>
      <c r="K291" s="3149" t="s">
        <v>3496</v>
      </c>
      <c r="L291" s="3150">
        <v>153.91999999999999</v>
      </c>
      <c r="M291" s="3150">
        <v>126.55</v>
      </c>
      <c r="N291" s="3161">
        <v>153.91999999999999</v>
      </c>
      <c r="O291" s="3150">
        <v>126.55</v>
      </c>
      <c r="P291" s="3151">
        <v>8550</v>
      </c>
      <c r="Q291" s="3151">
        <v>10399.18</v>
      </c>
      <c r="R291" s="3151">
        <v>1316016</v>
      </c>
      <c r="S291" s="3151">
        <v>9968.1067999999996</v>
      </c>
      <c r="T291" s="3151">
        <v>12123.9905</v>
      </c>
      <c r="U291" s="3151">
        <v>1534291</v>
      </c>
      <c r="V291" s="3151">
        <v>8550.01</v>
      </c>
      <c r="W291" s="3151">
        <v>10399.19</v>
      </c>
      <c r="X291" s="3151">
        <v>1316017</v>
      </c>
      <c r="Y291" s="3152">
        <v>1316017</v>
      </c>
      <c r="Z291" s="3152">
        <v>0</v>
      </c>
      <c r="AA291" s="3153"/>
      <c r="AB291" s="3151">
        <v>1316017</v>
      </c>
      <c r="AC291" s="3154">
        <v>43819</v>
      </c>
      <c r="AD291" s="3154">
        <v>44372.487411145834</v>
      </c>
      <c r="AE291" s="3154">
        <v>43847.56364158565</v>
      </c>
      <c r="AF291" s="3154">
        <v>44559</v>
      </c>
      <c r="AG291" s="3154">
        <v>44559</v>
      </c>
      <c r="AH291" s="3149"/>
      <c r="AI291" s="3149"/>
      <c r="AJ291" s="3154">
        <v>45199</v>
      </c>
      <c r="AK291" s="3149"/>
      <c r="AL291" s="3154">
        <v>43814</v>
      </c>
      <c r="AM291" s="3149" t="s">
        <v>3516</v>
      </c>
      <c r="AN291" s="3149" t="s">
        <v>3745</v>
      </c>
      <c r="AO291" s="3149" t="s">
        <v>3504</v>
      </c>
      <c r="AP291" s="3149" t="s">
        <v>3499</v>
      </c>
      <c r="AQ291" s="3149" t="s">
        <v>3499</v>
      </c>
      <c r="AR291" s="3149" t="s">
        <v>3519</v>
      </c>
      <c r="AS291" s="3149" t="s">
        <v>3520</v>
      </c>
      <c r="AT291" s="3149"/>
    </row>
    <row r="292" spans="1:46" ht="33.75">
      <c r="A292" s="3149">
        <v>284</v>
      </c>
      <c r="B292" s="3149" t="s">
        <v>3488</v>
      </c>
      <c r="C292" s="3149" t="s">
        <v>3489</v>
      </c>
      <c r="D292" s="3149" t="s">
        <v>3490</v>
      </c>
      <c r="E292" s="3149" t="s">
        <v>3742</v>
      </c>
      <c r="F292" s="3149" t="s">
        <v>3538</v>
      </c>
      <c r="G292" s="3149" t="s">
        <v>3528</v>
      </c>
      <c r="H292" s="3149" t="s">
        <v>3509</v>
      </c>
      <c r="I292" s="3149" t="s">
        <v>115</v>
      </c>
      <c r="J292" s="3149" t="s">
        <v>3389</v>
      </c>
      <c r="K292" s="3149" t="s">
        <v>3496</v>
      </c>
      <c r="L292" s="3150">
        <v>153.91999999999999</v>
      </c>
      <c r="M292" s="3150">
        <v>126.55</v>
      </c>
      <c r="N292" s="3161">
        <v>153.91999999999999</v>
      </c>
      <c r="O292" s="3150">
        <v>126.55</v>
      </c>
      <c r="P292" s="3151">
        <v>5500</v>
      </c>
      <c r="Q292" s="3151">
        <v>6689.53</v>
      </c>
      <c r="R292" s="3151">
        <v>846560</v>
      </c>
      <c r="S292" s="3151">
        <v>5500</v>
      </c>
      <c r="T292" s="3151">
        <v>6689.5298000000003</v>
      </c>
      <c r="U292" s="3151">
        <v>846560</v>
      </c>
      <c r="V292" s="3153"/>
      <c r="W292" s="3153"/>
      <c r="X292" s="3153"/>
      <c r="Y292" s="3153"/>
      <c r="Z292" s="3152">
        <v>0</v>
      </c>
      <c r="AA292" s="3153"/>
      <c r="AB292" s="3151">
        <v>0</v>
      </c>
      <c r="AC292" s="3154">
        <v>43819</v>
      </c>
      <c r="AD292" s="3154">
        <v>45264.773614039354</v>
      </c>
      <c r="AE292" s="3154">
        <v>43847.56364158565</v>
      </c>
      <c r="AF292" s="3149"/>
      <c r="AG292" s="3149"/>
      <c r="AH292" s="3149"/>
      <c r="AI292" s="3149"/>
      <c r="AJ292" s="3149"/>
      <c r="AK292" s="3149"/>
      <c r="AL292" s="3154">
        <v>43814</v>
      </c>
      <c r="AM292" s="3149"/>
      <c r="AN292" s="3149"/>
      <c r="AO292" s="3149"/>
      <c r="AP292" s="3149"/>
      <c r="AQ292" s="3149"/>
      <c r="AR292" s="3149"/>
      <c r="AS292" s="3149"/>
      <c r="AT292" s="3149"/>
    </row>
    <row r="293" spans="1:46" ht="33.75">
      <c r="A293" s="3149">
        <v>285</v>
      </c>
      <c r="B293" s="3149" t="s">
        <v>3488</v>
      </c>
      <c r="C293" s="3149" t="s">
        <v>3489</v>
      </c>
      <c r="D293" s="3149" t="s">
        <v>3490</v>
      </c>
      <c r="E293" s="3149" t="s">
        <v>3742</v>
      </c>
      <c r="F293" s="3149" t="s">
        <v>3546</v>
      </c>
      <c r="G293" s="3149" t="s">
        <v>3493</v>
      </c>
      <c r="H293" s="3149" t="s">
        <v>3494</v>
      </c>
      <c r="I293" s="3149" t="s">
        <v>115</v>
      </c>
      <c r="J293" s="3149" t="s">
        <v>3389</v>
      </c>
      <c r="K293" s="3149" t="s">
        <v>3496</v>
      </c>
      <c r="L293" s="3150">
        <v>113.03</v>
      </c>
      <c r="M293" s="3150">
        <v>92.93</v>
      </c>
      <c r="N293" s="3161">
        <v>113.03</v>
      </c>
      <c r="O293" s="3150">
        <v>92.93</v>
      </c>
      <c r="P293" s="3151">
        <v>12831.68</v>
      </c>
      <c r="Q293" s="3151">
        <v>15607.07</v>
      </c>
      <c r="R293" s="3151">
        <v>1450365</v>
      </c>
      <c r="S293" s="3151">
        <v>14475.705599999999</v>
      </c>
      <c r="T293" s="3151">
        <v>17606.682400000002</v>
      </c>
      <c r="U293" s="3151">
        <v>1636189</v>
      </c>
      <c r="V293" s="3151">
        <v>13404.65</v>
      </c>
      <c r="W293" s="3151">
        <v>16303.97</v>
      </c>
      <c r="X293" s="3151">
        <v>1515128</v>
      </c>
      <c r="Y293" s="3152">
        <v>1515128</v>
      </c>
      <c r="Z293" s="3152">
        <v>0</v>
      </c>
      <c r="AA293" s="3153"/>
      <c r="AB293" s="3151">
        <v>0</v>
      </c>
      <c r="AC293" s="3154">
        <v>43819</v>
      </c>
      <c r="AD293" s="3154">
        <v>43941.696851817127</v>
      </c>
      <c r="AE293" s="3154">
        <v>43847.56364158565</v>
      </c>
      <c r="AF293" s="3154">
        <v>43960</v>
      </c>
      <c r="AG293" s="3154">
        <v>43971</v>
      </c>
      <c r="AH293" s="3154">
        <v>44043</v>
      </c>
      <c r="AI293" s="3154">
        <v>44054</v>
      </c>
      <c r="AJ293" s="3154">
        <v>44834</v>
      </c>
      <c r="AK293" s="3149"/>
      <c r="AL293" s="3154">
        <v>43814</v>
      </c>
      <c r="AM293" s="3149" t="s">
        <v>3416</v>
      </c>
      <c r="AN293" s="3149" t="s">
        <v>3764</v>
      </c>
      <c r="AO293" s="3149" t="s">
        <v>3527</v>
      </c>
      <c r="AP293" s="3149" t="s">
        <v>3499</v>
      </c>
      <c r="AQ293" s="3149" t="s">
        <v>3499</v>
      </c>
      <c r="AR293" s="3149" t="s">
        <v>3505</v>
      </c>
      <c r="AS293" s="3149" t="s">
        <v>3506</v>
      </c>
      <c r="AT293" s="3149" t="s">
        <v>3507</v>
      </c>
    </row>
    <row r="294" spans="1:46" ht="33.75">
      <c r="A294" s="3149">
        <v>286</v>
      </c>
      <c r="B294" s="3149" t="s">
        <v>3488</v>
      </c>
      <c r="C294" s="3149" t="s">
        <v>3489</v>
      </c>
      <c r="D294" s="3149" t="s">
        <v>3490</v>
      </c>
      <c r="E294" s="3149" t="s">
        <v>3742</v>
      </c>
      <c r="F294" s="3149" t="s">
        <v>3546</v>
      </c>
      <c r="G294" s="3149" t="s">
        <v>3502</v>
      </c>
      <c r="H294" s="3149" t="s">
        <v>3494</v>
      </c>
      <c r="I294" s="3149" t="s">
        <v>115</v>
      </c>
      <c r="J294" s="3149" t="s">
        <v>3389</v>
      </c>
      <c r="K294" s="3149" t="s">
        <v>3496</v>
      </c>
      <c r="L294" s="3150">
        <v>113.03</v>
      </c>
      <c r="M294" s="3150">
        <v>92.93</v>
      </c>
      <c r="N294" s="3161">
        <v>113.03</v>
      </c>
      <c r="O294" s="3150">
        <v>92.93</v>
      </c>
      <c r="P294" s="3151">
        <v>14219.95</v>
      </c>
      <c r="Q294" s="3151">
        <v>17295.61</v>
      </c>
      <c r="R294" s="3151">
        <v>1607281</v>
      </c>
      <c r="S294" s="3151">
        <v>15937.043299999999</v>
      </c>
      <c r="T294" s="3151">
        <v>19384.095600000001</v>
      </c>
      <c r="U294" s="3151">
        <v>1801364</v>
      </c>
      <c r="V294" s="3151">
        <v>14219.95</v>
      </c>
      <c r="W294" s="3151">
        <v>17295.61</v>
      </c>
      <c r="X294" s="3151">
        <v>1607281</v>
      </c>
      <c r="Y294" s="3152">
        <v>1607281</v>
      </c>
      <c r="Z294" s="3152">
        <v>0</v>
      </c>
      <c r="AA294" s="3153"/>
      <c r="AB294" s="3151">
        <v>1607281</v>
      </c>
      <c r="AC294" s="3154">
        <v>43819</v>
      </c>
      <c r="AD294" s="3154">
        <v>43941.696851817127</v>
      </c>
      <c r="AE294" s="3154">
        <v>43847.56364158565</v>
      </c>
      <c r="AF294" s="3154">
        <v>44012</v>
      </c>
      <c r="AG294" s="3154">
        <v>44012</v>
      </c>
      <c r="AH294" s="3154">
        <v>44031</v>
      </c>
      <c r="AI294" s="3154">
        <v>44050</v>
      </c>
      <c r="AJ294" s="3154">
        <v>44834</v>
      </c>
      <c r="AK294" s="3149"/>
      <c r="AL294" s="3154">
        <v>43814</v>
      </c>
      <c r="AM294" s="3149" t="s">
        <v>3416</v>
      </c>
      <c r="AN294" s="3149" t="s">
        <v>3765</v>
      </c>
      <c r="AO294" s="3149" t="s">
        <v>3498</v>
      </c>
      <c r="AP294" s="3149" t="s">
        <v>3499</v>
      </c>
      <c r="AQ294" s="3149" t="s">
        <v>3499</v>
      </c>
      <c r="AR294" s="3149" t="s">
        <v>3505</v>
      </c>
      <c r="AS294" s="3149" t="s">
        <v>3506</v>
      </c>
      <c r="AT294" s="3149" t="s">
        <v>3507</v>
      </c>
    </row>
    <row r="295" spans="1:46" ht="33.75">
      <c r="A295" s="3149">
        <v>287</v>
      </c>
      <c r="B295" s="3149" t="s">
        <v>3488</v>
      </c>
      <c r="C295" s="3149" t="s">
        <v>3489</v>
      </c>
      <c r="D295" s="3149" t="s">
        <v>3490</v>
      </c>
      <c r="E295" s="3149" t="s">
        <v>3742</v>
      </c>
      <c r="F295" s="3149" t="s">
        <v>3546</v>
      </c>
      <c r="G295" s="3149" t="s">
        <v>3508</v>
      </c>
      <c r="H295" s="3149" t="s">
        <v>3494</v>
      </c>
      <c r="I295" s="3149" t="s">
        <v>115</v>
      </c>
      <c r="J295" s="3149" t="s">
        <v>3389</v>
      </c>
      <c r="K295" s="3149" t="s">
        <v>3496</v>
      </c>
      <c r="L295" s="3150">
        <v>113.03</v>
      </c>
      <c r="M295" s="3150">
        <v>92.93</v>
      </c>
      <c r="N295" s="3161">
        <v>113.03</v>
      </c>
      <c r="O295" s="3150">
        <v>92.93</v>
      </c>
      <c r="P295" s="3151">
        <v>8500</v>
      </c>
      <c r="Q295" s="3151">
        <v>10338.48</v>
      </c>
      <c r="R295" s="3151">
        <v>960755</v>
      </c>
      <c r="S295" s="3151">
        <v>9909.8116000000009</v>
      </c>
      <c r="T295" s="3151">
        <v>12053.222900000001</v>
      </c>
      <c r="U295" s="3151">
        <v>1120106</v>
      </c>
      <c r="V295" s="3151">
        <v>8500</v>
      </c>
      <c r="W295" s="3151">
        <v>10338.48</v>
      </c>
      <c r="X295" s="3151">
        <v>960755</v>
      </c>
      <c r="Y295" s="3152">
        <v>960755</v>
      </c>
      <c r="Z295" s="3152">
        <v>0</v>
      </c>
      <c r="AA295" s="3153"/>
      <c r="AB295" s="3151">
        <v>960755</v>
      </c>
      <c r="AC295" s="3154">
        <v>43819</v>
      </c>
      <c r="AD295" s="3154">
        <v>44372.487411145834</v>
      </c>
      <c r="AE295" s="3154">
        <v>43847.56364158565</v>
      </c>
      <c r="AF295" s="3154">
        <v>44439</v>
      </c>
      <c r="AG295" s="3154">
        <v>44469</v>
      </c>
      <c r="AH295" s="3149"/>
      <c r="AI295" s="3149"/>
      <c r="AJ295" s="3154">
        <v>45199</v>
      </c>
      <c r="AK295" s="3149"/>
      <c r="AL295" s="3154">
        <v>43814</v>
      </c>
      <c r="AM295" s="3149" t="s">
        <v>3516</v>
      </c>
      <c r="AN295" s="3149" t="s">
        <v>3766</v>
      </c>
      <c r="AO295" s="3149" t="s">
        <v>3504</v>
      </c>
      <c r="AP295" s="3149" t="s">
        <v>3499</v>
      </c>
      <c r="AQ295" s="3149" t="s">
        <v>3499</v>
      </c>
      <c r="AR295" s="3149" t="s">
        <v>3519</v>
      </c>
      <c r="AS295" s="3149" t="s">
        <v>3520</v>
      </c>
      <c r="AT295" s="3149"/>
    </row>
    <row r="296" spans="1:46" ht="33.75">
      <c r="A296" s="3149">
        <v>288</v>
      </c>
      <c r="B296" s="3149" t="s">
        <v>3488</v>
      </c>
      <c r="C296" s="3149" t="s">
        <v>3489</v>
      </c>
      <c r="D296" s="3149" t="s">
        <v>3490</v>
      </c>
      <c r="E296" s="3149" t="s">
        <v>3742</v>
      </c>
      <c r="F296" s="3149" t="s">
        <v>3546</v>
      </c>
      <c r="G296" s="3149" t="s">
        <v>3510</v>
      </c>
      <c r="H296" s="3149" t="s">
        <v>3494</v>
      </c>
      <c r="I296" s="3149" t="s">
        <v>115</v>
      </c>
      <c r="J296" s="3149" t="s">
        <v>3389</v>
      </c>
      <c r="K296" s="3149" t="s">
        <v>3496</v>
      </c>
      <c r="L296" s="3150">
        <v>113.03</v>
      </c>
      <c r="M296" s="3150">
        <v>92.93</v>
      </c>
      <c r="N296" s="3161">
        <v>113.03</v>
      </c>
      <c r="O296" s="3150">
        <v>92.93</v>
      </c>
      <c r="P296" s="3151">
        <v>8500</v>
      </c>
      <c r="Q296" s="3151">
        <v>10338.48</v>
      </c>
      <c r="R296" s="3151">
        <v>960755</v>
      </c>
      <c r="S296" s="3151">
        <v>9909.8116000000009</v>
      </c>
      <c r="T296" s="3151">
        <v>12053.222900000001</v>
      </c>
      <c r="U296" s="3151">
        <v>1120106</v>
      </c>
      <c r="V296" s="3151">
        <v>8500</v>
      </c>
      <c r="W296" s="3151">
        <v>10338.48</v>
      </c>
      <c r="X296" s="3151">
        <v>960755</v>
      </c>
      <c r="Y296" s="3152">
        <v>960755</v>
      </c>
      <c r="Z296" s="3152">
        <v>0</v>
      </c>
      <c r="AA296" s="3153"/>
      <c r="AB296" s="3151">
        <v>960755</v>
      </c>
      <c r="AC296" s="3154">
        <v>43819</v>
      </c>
      <c r="AD296" s="3154">
        <v>44554.592210648145</v>
      </c>
      <c r="AE296" s="3154">
        <v>43847.56364158565</v>
      </c>
      <c r="AF296" s="3154">
        <v>44554</v>
      </c>
      <c r="AG296" s="3154">
        <v>44554</v>
      </c>
      <c r="AH296" s="3149"/>
      <c r="AI296" s="3149"/>
      <c r="AJ296" s="3154">
        <v>45199</v>
      </c>
      <c r="AK296" s="3149"/>
      <c r="AL296" s="3154">
        <v>43814</v>
      </c>
      <c r="AM296" s="3149" t="s">
        <v>3516</v>
      </c>
      <c r="AN296" s="3149" t="s">
        <v>3767</v>
      </c>
      <c r="AO296" s="3149" t="s">
        <v>3518</v>
      </c>
      <c r="AP296" s="3149" t="s">
        <v>3499</v>
      </c>
      <c r="AQ296" s="3149" t="s">
        <v>3499</v>
      </c>
      <c r="AR296" s="3149" t="s">
        <v>3519</v>
      </c>
      <c r="AS296" s="3149" t="s">
        <v>3520</v>
      </c>
      <c r="AT296" s="3149"/>
    </row>
    <row r="297" spans="1:46" ht="33.75">
      <c r="A297" s="3149">
        <v>289</v>
      </c>
      <c r="B297" s="3149" t="s">
        <v>3488</v>
      </c>
      <c r="C297" s="3149" t="s">
        <v>3489</v>
      </c>
      <c r="D297" s="3149" t="s">
        <v>3490</v>
      </c>
      <c r="E297" s="3149" t="s">
        <v>3742</v>
      </c>
      <c r="F297" s="3149" t="s">
        <v>3546</v>
      </c>
      <c r="G297" s="3149" t="s">
        <v>3511</v>
      </c>
      <c r="H297" s="3149" t="s">
        <v>3494</v>
      </c>
      <c r="I297" s="3149" t="s">
        <v>115</v>
      </c>
      <c r="J297" s="3149" t="s">
        <v>3389</v>
      </c>
      <c r="K297" s="3149" t="s">
        <v>3496</v>
      </c>
      <c r="L297" s="3150">
        <v>113.03</v>
      </c>
      <c r="M297" s="3150">
        <v>92.93</v>
      </c>
      <c r="N297" s="3161">
        <v>113.03</v>
      </c>
      <c r="O297" s="3150">
        <v>92.93</v>
      </c>
      <c r="P297" s="3151">
        <v>8300</v>
      </c>
      <c r="Q297" s="3151">
        <v>10095.219999999999</v>
      </c>
      <c r="R297" s="3151">
        <v>938149</v>
      </c>
      <c r="S297" s="3151">
        <v>9676.6434000000008</v>
      </c>
      <c r="T297" s="3151">
        <v>11769.622300000001</v>
      </c>
      <c r="U297" s="3151">
        <v>1093751</v>
      </c>
      <c r="V297" s="3151">
        <v>8300.01</v>
      </c>
      <c r="W297" s="3151">
        <v>10095.23</v>
      </c>
      <c r="X297" s="3151">
        <v>938150</v>
      </c>
      <c r="Y297" s="3152">
        <v>938150</v>
      </c>
      <c r="Z297" s="3152">
        <v>0</v>
      </c>
      <c r="AA297" s="3153"/>
      <c r="AB297" s="3151">
        <v>938150</v>
      </c>
      <c r="AC297" s="3154">
        <v>43819</v>
      </c>
      <c r="AD297" s="3154">
        <v>44372.487411145834</v>
      </c>
      <c r="AE297" s="3154">
        <v>43847.56364158565</v>
      </c>
      <c r="AF297" s="3154">
        <v>44433</v>
      </c>
      <c r="AG297" s="3154">
        <v>44433</v>
      </c>
      <c r="AH297" s="3154">
        <v>45056</v>
      </c>
      <c r="AI297" s="3149"/>
      <c r="AJ297" s="3154">
        <v>45199</v>
      </c>
      <c r="AK297" s="3149"/>
      <c r="AL297" s="3154">
        <v>43814</v>
      </c>
      <c r="AM297" s="3149" t="s">
        <v>3516</v>
      </c>
      <c r="AN297" s="3149" t="s">
        <v>3768</v>
      </c>
      <c r="AO297" s="3149" t="s">
        <v>3540</v>
      </c>
      <c r="AP297" s="3149" t="s">
        <v>3499</v>
      </c>
      <c r="AQ297" s="3149" t="s">
        <v>3499</v>
      </c>
      <c r="AR297" s="3149" t="s">
        <v>3519</v>
      </c>
      <c r="AS297" s="3149" t="s">
        <v>3520</v>
      </c>
      <c r="AT297" s="3149"/>
    </row>
    <row r="298" spans="1:46" ht="33.75">
      <c r="A298" s="3149">
        <v>290</v>
      </c>
      <c r="B298" s="3149" t="s">
        <v>3488</v>
      </c>
      <c r="C298" s="3149" t="s">
        <v>3489</v>
      </c>
      <c r="D298" s="3149" t="s">
        <v>3490</v>
      </c>
      <c r="E298" s="3149" t="s">
        <v>3742</v>
      </c>
      <c r="F298" s="3149" t="s">
        <v>3546</v>
      </c>
      <c r="G298" s="3149" t="s">
        <v>3512</v>
      </c>
      <c r="H298" s="3149" t="s">
        <v>3494</v>
      </c>
      <c r="I298" s="3149" t="s">
        <v>115</v>
      </c>
      <c r="J298" s="3149" t="s">
        <v>3389</v>
      </c>
      <c r="K298" s="3149" t="s">
        <v>3496</v>
      </c>
      <c r="L298" s="3150">
        <v>113.03</v>
      </c>
      <c r="M298" s="3150">
        <v>92.93</v>
      </c>
      <c r="N298" s="3161">
        <v>113.03</v>
      </c>
      <c r="O298" s="3150">
        <v>92.93</v>
      </c>
      <c r="P298" s="3151">
        <v>10400</v>
      </c>
      <c r="Q298" s="3151">
        <v>12649.44</v>
      </c>
      <c r="R298" s="3151">
        <v>1175512</v>
      </c>
      <c r="S298" s="3151">
        <v>10400</v>
      </c>
      <c r="T298" s="3151">
        <v>12649.435100000001</v>
      </c>
      <c r="U298" s="3151">
        <v>1175512</v>
      </c>
      <c r="V298" s="3151">
        <v>10400</v>
      </c>
      <c r="W298" s="3151">
        <v>12649.44</v>
      </c>
      <c r="X298" s="3151">
        <v>1175512</v>
      </c>
      <c r="Y298" s="3152">
        <v>1175512</v>
      </c>
      <c r="Z298" s="3152">
        <v>0</v>
      </c>
      <c r="AA298" s="3153"/>
      <c r="AB298" s="3151">
        <v>1175512</v>
      </c>
      <c r="AC298" s="3154">
        <v>43819</v>
      </c>
      <c r="AD298" s="3154">
        <v>43995.37337202546</v>
      </c>
      <c r="AE298" s="3154">
        <v>43847.56364158565</v>
      </c>
      <c r="AF298" s="3154">
        <v>44035</v>
      </c>
      <c r="AG298" s="3154">
        <v>44040</v>
      </c>
      <c r="AH298" s="3154">
        <v>44050</v>
      </c>
      <c r="AI298" s="3154">
        <v>44054</v>
      </c>
      <c r="AJ298" s="3154">
        <v>44834</v>
      </c>
      <c r="AK298" s="3149"/>
      <c r="AL298" s="3154">
        <v>43814</v>
      </c>
      <c r="AM298" s="3149" t="s">
        <v>3416</v>
      </c>
      <c r="AN298" s="3149" t="s">
        <v>3769</v>
      </c>
      <c r="AO298" s="3149" t="s">
        <v>3498</v>
      </c>
      <c r="AP298" s="3149" t="s">
        <v>3499</v>
      </c>
      <c r="AQ298" s="3149" t="s">
        <v>3499</v>
      </c>
      <c r="AR298" s="3149" t="s">
        <v>3500</v>
      </c>
      <c r="AS298" s="3149" t="s">
        <v>3501</v>
      </c>
      <c r="AT298" s="3149"/>
    </row>
    <row r="299" spans="1:46" ht="33.75">
      <c r="A299" s="3149">
        <v>291</v>
      </c>
      <c r="B299" s="3149" t="s">
        <v>3488</v>
      </c>
      <c r="C299" s="3149" t="s">
        <v>3489</v>
      </c>
      <c r="D299" s="3149" t="s">
        <v>3490</v>
      </c>
      <c r="E299" s="3149" t="s">
        <v>3742</v>
      </c>
      <c r="F299" s="3149" t="s">
        <v>3546</v>
      </c>
      <c r="G299" s="3149" t="s">
        <v>3513</v>
      </c>
      <c r="H299" s="3149" t="s">
        <v>3494</v>
      </c>
      <c r="I299" s="3149" t="s">
        <v>115</v>
      </c>
      <c r="J299" s="3149" t="s">
        <v>3389</v>
      </c>
      <c r="K299" s="3149" t="s">
        <v>3496</v>
      </c>
      <c r="L299" s="3150">
        <v>113.03</v>
      </c>
      <c r="M299" s="3150">
        <v>92.93</v>
      </c>
      <c r="N299" s="3161">
        <v>113.03</v>
      </c>
      <c r="O299" s="3150">
        <v>92.93</v>
      </c>
      <c r="P299" s="3151">
        <v>8835</v>
      </c>
      <c r="Q299" s="3151">
        <v>10745.94</v>
      </c>
      <c r="R299" s="3151">
        <v>998620</v>
      </c>
      <c r="S299" s="3151">
        <v>10300.3804</v>
      </c>
      <c r="T299" s="3151">
        <v>12528.268599999999</v>
      </c>
      <c r="U299" s="3151">
        <v>1164252</v>
      </c>
      <c r="V299" s="3151">
        <v>8835.01</v>
      </c>
      <c r="W299" s="3151">
        <v>10745.95</v>
      </c>
      <c r="X299" s="3151">
        <v>998621</v>
      </c>
      <c r="Y299" s="3152">
        <v>998621</v>
      </c>
      <c r="Z299" s="3152">
        <v>0</v>
      </c>
      <c r="AA299" s="3153"/>
      <c r="AB299" s="3151">
        <v>1307242</v>
      </c>
      <c r="AC299" s="3154">
        <v>43819</v>
      </c>
      <c r="AD299" s="3154">
        <v>44372.487411145834</v>
      </c>
      <c r="AE299" s="3154">
        <v>43847.56364158565</v>
      </c>
      <c r="AF299" s="3154">
        <v>44558</v>
      </c>
      <c r="AG299" s="3154">
        <v>44558</v>
      </c>
      <c r="AH299" s="3149"/>
      <c r="AI299" s="3149"/>
      <c r="AJ299" s="3154">
        <v>45199</v>
      </c>
      <c r="AK299" s="3149"/>
      <c r="AL299" s="3154">
        <v>43814</v>
      </c>
      <c r="AM299" s="3149" t="s">
        <v>3516</v>
      </c>
      <c r="AN299" s="3149" t="s">
        <v>3770</v>
      </c>
      <c r="AO299" s="3149" t="s">
        <v>3638</v>
      </c>
      <c r="AP299" s="3149" t="s">
        <v>3499</v>
      </c>
      <c r="AQ299" s="3149" t="s">
        <v>3499</v>
      </c>
      <c r="AR299" s="3149" t="s">
        <v>3519</v>
      </c>
      <c r="AS299" s="3149" t="s">
        <v>3520</v>
      </c>
      <c r="AT299" s="3149"/>
    </row>
    <row r="300" spans="1:46" ht="33.75">
      <c r="A300" s="3149">
        <v>292</v>
      </c>
      <c r="B300" s="3149" t="s">
        <v>3488</v>
      </c>
      <c r="C300" s="3149" t="s">
        <v>3489</v>
      </c>
      <c r="D300" s="3149" t="s">
        <v>3490</v>
      </c>
      <c r="E300" s="3149" t="s">
        <v>3742</v>
      </c>
      <c r="F300" s="3149" t="s">
        <v>3546</v>
      </c>
      <c r="G300" s="3149" t="s">
        <v>3514</v>
      </c>
      <c r="H300" s="3149" t="s">
        <v>3494</v>
      </c>
      <c r="I300" s="3149" t="s">
        <v>115</v>
      </c>
      <c r="J300" s="3149" t="s">
        <v>3389</v>
      </c>
      <c r="K300" s="3149" t="s">
        <v>3496</v>
      </c>
      <c r="L300" s="3150">
        <v>113.03</v>
      </c>
      <c r="M300" s="3150">
        <v>92.93</v>
      </c>
      <c r="N300" s="3161">
        <v>113.03</v>
      </c>
      <c r="O300" s="3150">
        <v>92.93</v>
      </c>
      <c r="P300" s="3151">
        <v>8400</v>
      </c>
      <c r="Q300" s="3151">
        <v>10216.85</v>
      </c>
      <c r="R300" s="3151">
        <v>949452</v>
      </c>
      <c r="S300" s="3151">
        <v>9793.2319000000007</v>
      </c>
      <c r="T300" s="3151">
        <v>11911.428</v>
      </c>
      <c r="U300" s="3151">
        <v>1106929</v>
      </c>
      <c r="V300" s="3151">
        <v>8400.01</v>
      </c>
      <c r="W300" s="3151">
        <v>10216.86</v>
      </c>
      <c r="X300" s="3151">
        <v>949453</v>
      </c>
      <c r="Y300" s="3152">
        <v>949453</v>
      </c>
      <c r="Z300" s="3152">
        <v>0</v>
      </c>
      <c r="AA300" s="3153"/>
      <c r="AB300" s="3151">
        <v>949453</v>
      </c>
      <c r="AC300" s="3154">
        <v>43819</v>
      </c>
      <c r="AD300" s="3154">
        <v>44372.487411145834</v>
      </c>
      <c r="AE300" s="3154">
        <v>43847.56364158565</v>
      </c>
      <c r="AF300" s="3154">
        <v>44433</v>
      </c>
      <c r="AG300" s="3154">
        <v>44433</v>
      </c>
      <c r="AH300" s="3154">
        <v>44965</v>
      </c>
      <c r="AI300" s="3149"/>
      <c r="AJ300" s="3154">
        <v>45199</v>
      </c>
      <c r="AK300" s="3149"/>
      <c r="AL300" s="3154">
        <v>43814</v>
      </c>
      <c r="AM300" s="3149" t="s">
        <v>3516</v>
      </c>
      <c r="AN300" s="3149" t="s">
        <v>3771</v>
      </c>
      <c r="AO300" s="3149" t="s">
        <v>3540</v>
      </c>
      <c r="AP300" s="3149" t="s">
        <v>3499</v>
      </c>
      <c r="AQ300" s="3149" t="s">
        <v>3499</v>
      </c>
      <c r="AR300" s="3149" t="s">
        <v>3519</v>
      </c>
      <c r="AS300" s="3149" t="s">
        <v>3520</v>
      </c>
      <c r="AT300" s="3149"/>
    </row>
    <row r="301" spans="1:46" ht="33.75">
      <c r="A301" s="3149">
        <v>293</v>
      </c>
      <c r="B301" s="3149" t="s">
        <v>3488</v>
      </c>
      <c r="C301" s="3149" t="s">
        <v>3489</v>
      </c>
      <c r="D301" s="3149" t="s">
        <v>3490</v>
      </c>
      <c r="E301" s="3149" t="s">
        <v>3742</v>
      </c>
      <c r="F301" s="3149" t="s">
        <v>3546</v>
      </c>
      <c r="G301" s="3149" t="s">
        <v>3515</v>
      </c>
      <c r="H301" s="3149" t="s">
        <v>3509</v>
      </c>
      <c r="I301" s="3149" t="s">
        <v>115</v>
      </c>
      <c r="J301" s="3149" t="s">
        <v>3389</v>
      </c>
      <c r="K301" s="3149" t="s">
        <v>3496</v>
      </c>
      <c r="L301" s="3150">
        <v>113.03</v>
      </c>
      <c r="M301" s="3150">
        <v>92.93</v>
      </c>
      <c r="N301" s="3161">
        <v>113.03</v>
      </c>
      <c r="O301" s="3150">
        <v>92.93</v>
      </c>
      <c r="P301" s="3151">
        <v>5500</v>
      </c>
      <c r="Q301" s="3151">
        <v>6689.61</v>
      </c>
      <c r="R301" s="3151">
        <v>621665</v>
      </c>
      <c r="S301" s="3151">
        <v>5500</v>
      </c>
      <c r="T301" s="3151">
        <v>6689.6050999999998</v>
      </c>
      <c r="U301" s="3151">
        <v>621665</v>
      </c>
      <c r="V301" s="3153"/>
      <c r="W301" s="3153"/>
      <c r="X301" s="3153"/>
      <c r="Y301" s="3153"/>
      <c r="Z301" s="3152">
        <v>0</v>
      </c>
      <c r="AA301" s="3153"/>
      <c r="AB301" s="3151">
        <v>0</v>
      </c>
      <c r="AC301" s="3154">
        <v>43819</v>
      </c>
      <c r="AD301" s="3154">
        <v>45264.773614039354</v>
      </c>
      <c r="AE301" s="3154">
        <v>43847.56364158565</v>
      </c>
      <c r="AF301" s="3149"/>
      <c r="AG301" s="3149"/>
      <c r="AH301" s="3149"/>
      <c r="AI301" s="3149"/>
      <c r="AJ301" s="3149"/>
      <c r="AK301" s="3149"/>
      <c r="AL301" s="3154">
        <v>43814</v>
      </c>
      <c r="AM301" s="3149"/>
      <c r="AN301" s="3149"/>
      <c r="AO301" s="3149"/>
      <c r="AP301" s="3149"/>
      <c r="AQ301" s="3149"/>
      <c r="AR301" s="3149"/>
      <c r="AS301" s="3149"/>
      <c r="AT301" s="3149"/>
    </row>
    <row r="302" spans="1:46" ht="33.75">
      <c r="A302" s="3149">
        <v>294</v>
      </c>
      <c r="B302" s="3149" t="s">
        <v>3488</v>
      </c>
      <c r="C302" s="3149" t="s">
        <v>3489</v>
      </c>
      <c r="D302" s="3149" t="s">
        <v>3490</v>
      </c>
      <c r="E302" s="3149" t="s">
        <v>3742</v>
      </c>
      <c r="F302" s="3149" t="s">
        <v>3546</v>
      </c>
      <c r="G302" s="3149" t="s">
        <v>3521</v>
      </c>
      <c r="H302" s="3149" t="s">
        <v>3494</v>
      </c>
      <c r="I302" s="3149" t="s">
        <v>115</v>
      </c>
      <c r="J302" s="3149" t="s">
        <v>3389</v>
      </c>
      <c r="K302" s="3149" t="s">
        <v>3496</v>
      </c>
      <c r="L302" s="3150">
        <v>113.03</v>
      </c>
      <c r="M302" s="3150">
        <v>92.93</v>
      </c>
      <c r="N302" s="3161">
        <v>113.03</v>
      </c>
      <c r="O302" s="3150">
        <v>92.93</v>
      </c>
      <c r="P302" s="3151">
        <v>8600</v>
      </c>
      <c r="Q302" s="3151">
        <v>10460.11</v>
      </c>
      <c r="R302" s="3151">
        <v>972058</v>
      </c>
      <c r="S302" s="3151">
        <v>10026.400100000001</v>
      </c>
      <c r="T302" s="3151">
        <v>12195.0285</v>
      </c>
      <c r="U302" s="3151">
        <v>1133284</v>
      </c>
      <c r="V302" s="3151">
        <v>8700</v>
      </c>
      <c r="W302" s="3151">
        <v>10581.74</v>
      </c>
      <c r="X302" s="3151">
        <v>983361</v>
      </c>
      <c r="Y302" s="3152">
        <v>983361</v>
      </c>
      <c r="Z302" s="3152">
        <v>0</v>
      </c>
      <c r="AA302" s="3153"/>
      <c r="AB302" s="3151">
        <v>983361</v>
      </c>
      <c r="AC302" s="3154">
        <v>43819</v>
      </c>
      <c r="AD302" s="3154">
        <v>44372.487411145834</v>
      </c>
      <c r="AE302" s="3154">
        <v>43847.56364158565</v>
      </c>
      <c r="AF302" s="3154">
        <v>44371</v>
      </c>
      <c r="AG302" s="3154">
        <v>44371</v>
      </c>
      <c r="AH302" s="3154">
        <v>44557</v>
      </c>
      <c r="AI302" s="3154">
        <v>44571</v>
      </c>
      <c r="AJ302" s="3154">
        <v>44834</v>
      </c>
      <c r="AK302" s="3149"/>
      <c r="AL302" s="3154">
        <v>43814</v>
      </c>
      <c r="AM302" s="3149" t="s">
        <v>3416</v>
      </c>
      <c r="AN302" s="3149" t="s">
        <v>3772</v>
      </c>
      <c r="AO302" s="3149" t="s">
        <v>3504</v>
      </c>
      <c r="AP302" s="3149" t="s">
        <v>3499</v>
      </c>
      <c r="AQ302" s="3149" t="s">
        <v>3499</v>
      </c>
      <c r="AR302" s="3149" t="s">
        <v>3500</v>
      </c>
      <c r="AS302" s="3149" t="s">
        <v>3519</v>
      </c>
      <c r="AT302" s="3149"/>
    </row>
    <row r="303" spans="1:46" ht="33.75">
      <c r="A303" s="3149">
        <v>295</v>
      </c>
      <c r="B303" s="3149" t="s">
        <v>3488</v>
      </c>
      <c r="C303" s="3149" t="s">
        <v>3489</v>
      </c>
      <c r="D303" s="3149" t="s">
        <v>3490</v>
      </c>
      <c r="E303" s="3149" t="s">
        <v>3742</v>
      </c>
      <c r="F303" s="3149" t="s">
        <v>3546</v>
      </c>
      <c r="G303" s="3149" t="s">
        <v>3522</v>
      </c>
      <c r="H303" s="3149" t="s">
        <v>3494</v>
      </c>
      <c r="I303" s="3149" t="s">
        <v>115</v>
      </c>
      <c r="J303" s="3149" t="s">
        <v>3389</v>
      </c>
      <c r="K303" s="3149" t="s">
        <v>3496</v>
      </c>
      <c r="L303" s="3150">
        <v>113.03</v>
      </c>
      <c r="M303" s="3150">
        <v>92.93</v>
      </c>
      <c r="N303" s="3161">
        <v>113.03</v>
      </c>
      <c r="O303" s="3150">
        <v>92.93</v>
      </c>
      <c r="P303" s="3151">
        <v>10500</v>
      </c>
      <c r="Q303" s="3151">
        <v>12771.06</v>
      </c>
      <c r="R303" s="3151">
        <v>1186815</v>
      </c>
      <c r="S303" s="3151">
        <v>12021.304099999999</v>
      </c>
      <c r="T303" s="3151">
        <v>14621.414000000001</v>
      </c>
      <c r="U303" s="3151">
        <v>1358768</v>
      </c>
      <c r="V303" s="3151">
        <v>11000</v>
      </c>
      <c r="W303" s="3151">
        <v>13379.21</v>
      </c>
      <c r="X303" s="3151">
        <v>1243330</v>
      </c>
      <c r="Y303" s="3152">
        <v>1243330</v>
      </c>
      <c r="Z303" s="3152">
        <v>0</v>
      </c>
      <c r="AA303" s="3153"/>
      <c r="AB303" s="3151">
        <v>1243330</v>
      </c>
      <c r="AC303" s="3154">
        <v>43819</v>
      </c>
      <c r="AD303" s="3154">
        <v>43941.696851817127</v>
      </c>
      <c r="AE303" s="3154">
        <v>43847.56364158565</v>
      </c>
      <c r="AF303" s="3154">
        <v>43984</v>
      </c>
      <c r="AG303" s="3154">
        <v>43984</v>
      </c>
      <c r="AH303" s="3154">
        <v>43992</v>
      </c>
      <c r="AI303" s="3154">
        <v>43998</v>
      </c>
      <c r="AJ303" s="3154">
        <v>44834</v>
      </c>
      <c r="AK303" s="3149"/>
      <c r="AL303" s="3154">
        <v>43814</v>
      </c>
      <c r="AM303" s="3149" t="s">
        <v>3416</v>
      </c>
      <c r="AN303" s="3149" t="s">
        <v>3773</v>
      </c>
      <c r="AO303" s="3149" t="s">
        <v>3591</v>
      </c>
      <c r="AP303" s="3149" t="s">
        <v>3499</v>
      </c>
      <c r="AQ303" s="3149" t="s">
        <v>3499</v>
      </c>
      <c r="AR303" s="3149" t="s">
        <v>3505</v>
      </c>
      <c r="AS303" s="3149" t="s">
        <v>3506</v>
      </c>
      <c r="AT303" s="3149" t="s">
        <v>3507</v>
      </c>
    </row>
    <row r="304" spans="1:46" ht="33.75">
      <c r="A304" s="3149">
        <v>296</v>
      </c>
      <c r="B304" s="3149" t="s">
        <v>3488</v>
      </c>
      <c r="C304" s="3149" t="s">
        <v>3489</v>
      </c>
      <c r="D304" s="3149" t="s">
        <v>3490</v>
      </c>
      <c r="E304" s="3149" t="s">
        <v>3742</v>
      </c>
      <c r="F304" s="3149" t="s">
        <v>3546</v>
      </c>
      <c r="G304" s="3149" t="s">
        <v>3523</v>
      </c>
      <c r="H304" s="3149" t="s">
        <v>3494</v>
      </c>
      <c r="I304" s="3149" t="s">
        <v>115</v>
      </c>
      <c r="J304" s="3149" t="s">
        <v>3389</v>
      </c>
      <c r="K304" s="3149" t="s">
        <v>3496</v>
      </c>
      <c r="L304" s="3150">
        <v>113.03</v>
      </c>
      <c r="M304" s="3150">
        <v>92.93</v>
      </c>
      <c r="N304" s="3161">
        <v>113.03</v>
      </c>
      <c r="O304" s="3150">
        <v>92.93</v>
      </c>
      <c r="P304" s="3151">
        <v>10700</v>
      </c>
      <c r="Q304" s="3151">
        <v>13014.32</v>
      </c>
      <c r="R304" s="3151">
        <v>1209421</v>
      </c>
      <c r="S304" s="3151">
        <v>10700</v>
      </c>
      <c r="T304" s="3151">
        <v>13014.3226</v>
      </c>
      <c r="U304" s="3151">
        <v>1209421</v>
      </c>
      <c r="V304" s="3151">
        <v>10700</v>
      </c>
      <c r="W304" s="3151">
        <v>13014.32</v>
      </c>
      <c r="X304" s="3151">
        <v>1209421</v>
      </c>
      <c r="Y304" s="3152">
        <v>1209421</v>
      </c>
      <c r="Z304" s="3152">
        <v>0</v>
      </c>
      <c r="AA304" s="3153"/>
      <c r="AB304" s="3151">
        <v>1209421</v>
      </c>
      <c r="AC304" s="3154">
        <v>43819</v>
      </c>
      <c r="AD304" s="3154">
        <v>43995.37337202546</v>
      </c>
      <c r="AE304" s="3154">
        <v>43847.56364158565</v>
      </c>
      <c r="AF304" s="3154">
        <v>44007</v>
      </c>
      <c r="AG304" s="3154">
        <v>44008</v>
      </c>
      <c r="AH304" s="3154">
        <v>44141</v>
      </c>
      <c r="AI304" s="3154">
        <v>44144</v>
      </c>
      <c r="AJ304" s="3154">
        <v>44834</v>
      </c>
      <c r="AK304" s="3149"/>
      <c r="AL304" s="3154">
        <v>43814</v>
      </c>
      <c r="AM304" s="3149" t="s">
        <v>3416</v>
      </c>
      <c r="AN304" s="3149" t="s">
        <v>3774</v>
      </c>
      <c r="AO304" s="3149" t="s">
        <v>3556</v>
      </c>
      <c r="AP304" s="3149" t="s">
        <v>3499</v>
      </c>
      <c r="AQ304" s="3149" t="s">
        <v>3499</v>
      </c>
      <c r="AR304" s="3149" t="s">
        <v>3505</v>
      </c>
      <c r="AS304" s="3149" t="s">
        <v>3506</v>
      </c>
      <c r="AT304" s="3149" t="s">
        <v>3507</v>
      </c>
    </row>
    <row r="305" spans="1:46" ht="33.75">
      <c r="A305" s="3149">
        <v>297</v>
      </c>
      <c r="B305" s="3149" t="s">
        <v>3488</v>
      </c>
      <c r="C305" s="3149" t="s">
        <v>3489</v>
      </c>
      <c r="D305" s="3149" t="s">
        <v>3490</v>
      </c>
      <c r="E305" s="3149" t="s">
        <v>3742</v>
      </c>
      <c r="F305" s="3149" t="s">
        <v>3546</v>
      </c>
      <c r="G305" s="3149" t="s">
        <v>3525</v>
      </c>
      <c r="H305" s="3149" t="s">
        <v>3509</v>
      </c>
      <c r="I305" s="3149" t="s">
        <v>115</v>
      </c>
      <c r="J305" s="3149" t="s">
        <v>3389</v>
      </c>
      <c r="K305" s="3149" t="s">
        <v>3496</v>
      </c>
      <c r="L305" s="3150">
        <v>153.91999999999999</v>
      </c>
      <c r="M305" s="3150">
        <v>126.55</v>
      </c>
      <c r="N305" s="3161">
        <v>153.91999999999999</v>
      </c>
      <c r="O305" s="3150">
        <v>126.55</v>
      </c>
      <c r="P305" s="3151">
        <v>5550</v>
      </c>
      <c r="Q305" s="3151">
        <v>6750.34</v>
      </c>
      <c r="R305" s="3151">
        <v>854256</v>
      </c>
      <c r="S305" s="3151">
        <v>5550</v>
      </c>
      <c r="T305" s="3151">
        <v>6750.3437000000004</v>
      </c>
      <c r="U305" s="3151">
        <v>854256</v>
      </c>
      <c r="V305" s="3153"/>
      <c r="W305" s="3153"/>
      <c r="X305" s="3153"/>
      <c r="Y305" s="3153"/>
      <c r="Z305" s="3152">
        <v>0</v>
      </c>
      <c r="AA305" s="3153"/>
      <c r="AB305" s="3151">
        <v>0</v>
      </c>
      <c r="AC305" s="3154">
        <v>43819</v>
      </c>
      <c r="AD305" s="3154">
        <v>45264.773614039354</v>
      </c>
      <c r="AE305" s="3154">
        <v>43847.56364158565</v>
      </c>
      <c r="AF305" s="3149"/>
      <c r="AG305" s="3149"/>
      <c r="AH305" s="3149"/>
      <c r="AI305" s="3149"/>
      <c r="AJ305" s="3149"/>
      <c r="AK305" s="3149"/>
      <c r="AL305" s="3154">
        <v>43814</v>
      </c>
      <c r="AM305" s="3149"/>
      <c r="AN305" s="3149"/>
      <c r="AO305" s="3149"/>
      <c r="AP305" s="3149"/>
      <c r="AQ305" s="3149"/>
      <c r="AR305" s="3149"/>
      <c r="AS305" s="3149"/>
      <c r="AT305" s="3149"/>
    </row>
    <row r="306" spans="1:46" ht="33.75">
      <c r="A306" s="3149">
        <v>298</v>
      </c>
      <c r="B306" s="3149" t="s">
        <v>3488</v>
      </c>
      <c r="C306" s="3149" t="s">
        <v>3489</v>
      </c>
      <c r="D306" s="3149" t="s">
        <v>3490</v>
      </c>
      <c r="E306" s="3149" t="s">
        <v>3742</v>
      </c>
      <c r="F306" s="3149" t="s">
        <v>3546</v>
      </c>
      <c r="G306" s="3149" t="s">
        <v>3528</v>
      </c>
      <c r="H306" s="3149" t="s">
        <v>3494</v>
      </c>
      <c r="I306" s="3149" t="s">
        <v>115</v>
      </c>
      <c r="J306" s="3149" t="s">
        <v>3389</v>
      </c>
      <c r="K306" s="3149" t="s">
        <v>3496</v>
      </c>
      <c r="L306" s="3150">
        <v>153.91999999999999</v>
      </c>
      <c r="M306" s="3150">
        <v>126.55</v>
      </c>
      <c r="N306" s="3161">
        <v>153.91999999999999</v>
      </c>
      <c r="O306" s="3150">
        <v>126.55</v>
      </c>
      <c r="P306" s="3151">
        <v>8550</v>
      </c>
      <c r="Q306" s="3151">
        <v>10399.18</v>
      </c>
      <c r="R306" s="3151">
        <v>1316016</v>
      </c>
      <c r="S306" s="3151">
        <v>9968.1067999999996</v>
      </c>
      <c r="T306" s="3151">
        <v>12123.9905</v>
      </c>
      <c r="U306" s="3151">
        <v>1534291</v>
      </c>
      <c r="V306" s="3151">
        <v>8550.01</v>
      </c>
      <c r="W306" s="3151">
        <v>10399.19</v>
      </c>
      <c r="X306" s="3151">
        <v>1316017</v>
      </c>
      <c r="Y306" s="3152">
        <v>1316017</v>
      </c>
      <c r="Z306" s="3152">
        <v>0</v>
      </c>
      <c r="AA306" s="3153"/>
      <c r="AB306" s="3151">
        <v>1316017</v>
      </c>
      <c r="AC306" s="3154">
        <v>43819</v>
      </c>
      <c r="AD306" s="3154">
        <v>44372.487411145834</v>
      </c>
      <c r="AE306" s="3154">
        <v>43847.56364158565</v>
      </c>
      <c r="AF306" s="3154">
        <v>44439</v>
      </c>
      <c r="AG306" s="3154">
        <v>44469</v>
      </c>
      <c r="AH306" s="3154">
        <v>44835</v>
      </c>
      <c r="AI306" s="3154">
        <v>44866</v>
      </c>
      <c r="AJ306" s="3154">
        <v>45199</v>
      </c>
      <c r="AK306" s="3149"/>
      <c r="AL306" s="3154">
        <v>43814</v>
      </c>
      <c r="AM306" s="3149" t="s">
        <v>3516</v>
      </c>
      <c r="AN306" s="3149" t="s">
        <v>3775</v>
      </c>
      <c r="AO306" s="3149" t="s">
        <v>3504</v>
      </c>
      <c r="AP306" s="3149" t="s">
        <v>3499</v>
      </c>
      <c r="AQ306" s="3149" t="s">
        <v>3499</v>
      </c>
      <c r="AR306" s="3149" t="s">
        <v>3519</v>
      </c>
      <c r="AS306" s="3149" t="s">
        <v>3520</v>
      </c>
      <c r="AT306" s="3149"/>
    </row>
    <row r="307" spans="1:46" ht="33.75">
      <c r="A307" s="3149">
        <v>299</v>
      </c>
      <c r="B307" s="3149" t="s">
        <v>3488</v>
      </c>
      <c r="C307" s="3149" t="s">
        <v>3489</v>
      </c>
      <c r="D307" s="3149" t="s">
        <v>3490</v>
      </c>
      <c r="E307" s="3149" t="s">
        <v>3776</v>
      </c>
      <c r="F307" s="3149" t="s">
        <v>3492</v>
      </c>
      <c r="G307" s="3149" t="s">
        <v>3493</v>
      </c>
      <c r="H307" s="3149" t="s">
        <v>3494</v>
      </c>
      <c r="I307" s="3149" t="s">
        <v>3777</v>
      </c>
      <c r="J307" s="3149" t="s">
        <v>3389</v>
      </c>
      <c r="K307" s="3149" t="s">
        <v>3496</v>
      </c>
      <c r="L307" s="3150">
        <v>114.36</v>
      </c>
      <c r="M307" s="3150">
        <v>92.93</v>
      </c>
      <c r="N307" s="3161">
        <v>114.36</v>
      </c>
      <c r="O307" s="3150">
        <v>92.93</v>
      </c>
      <c r="P307" s="3151">
        <v>13775</v>
      </c>
      <c r="Q307" s="3151">
        <v>16951.57</v>
      </c>
      <c r="R307" s="3151">
        <v>1575309</v>
      </c>
      <c r="S307" s="3151">
        <v>16548.3298</v>
      </c>
      <c r="T307" s="3151">
        <v>20364.435600000001</v>
      </c>
      <c r="U307" s="3151">
        <v>1892467</v>
      </c>
      <c r="V307" s="3151">
        <v>14500</v>
      </c>
      <c r="W307" s="3151">
        <v>17843.75</v>
      </c>
      <c r="X307" s="3151">
        <v>1658220</v>
      </c>
      <c r="Y307" s="3152">
        <v>1658220</v>
      </c>
      <c r="Z307" s="3152">
        <v>0</v>
      </c>
      <c r="AA307" s="3153"/>
      <c r="AB307" s="3151">
        <v>1658220</v>
      </c>
      <c r="AC307" s="3154">
        <v>44006</v>
      </c>
      <c r="AD307" s="3154">
        <v>44089.755273182869</v>
      </c>
      <c r="AE307" s="3154">
        <v>44090.403246412032</v>
      </c>
      <c r="AF307" s="3154">
        <v>44096</v>
      </c>
      <c r="AG307" s="3154">
        <v>44097</v>
      </c>
      <c r="AH307" s="3154">
        <v>44144</v>
      </c>
      <c r="AI307" s="3154">
        <v>44148</v>
      </c>
      <c r="AJ307" s="3154">
        <v>44834</v>
      </c>
      <c r="AK307" s="3154">
        <v>44834</v>
      </c>
      <c r="AL307" s="3154">
        <v>44006</v>
      </c>
      <c r="AM307" s="3149" t="s">
        <v>3416</v>
      </c>
      <c r="AN307" s="3149" t="s">
        <v>3778</v>
      </c>
      <c r="AO307" s="3149" t="s">
        <v>3527</v>
      </c>
      <c r="AP307" s="3149" t="s">
        <v>3499</v>
      </c>
      <c r="AQ307" s="3149" t="s">
        <v>3499</v>
      </c>
      <c r="AR307" s="3149" t="s">
        <v>3500</v>
      </c>
      <c r="AS307" s="3149" t="s">
        <v>3501</v>
      </c>
      <c r="AT307" s="3149"/>
    </row>
    <row r="308" spans="1:46" ht="33.75">
      <c r="A308" s="3149">
        <v>300</v>
      </c>
      <c r="B308" s="3149" t="s">
        <v>3488</v>
      </c>
      <c r="C308" s="3149" t="s">
        <v>3489</v>
      </c>
      <c r="D308" s="3149" t="s">
        <v>3490</v>
      </c>
      <c r="E308" s="3149" t="s">
        <v>3776</v>
      </c>
      <c r="F308" s="3149" t="s">
        <v>3492</v>
      </c>
      <c r="G308" s="3149" t="s">
        <v>3502</v>
      </c>
      <c r="H308" s="3149" t="s">
        <v>3494</v>
      </c>
      <c r="I308" s="3149" t="s">
        <v>3777</v>
      </c>
      <c r="J308" s="3149" t="s">
        <v>3389</v>
      </c>
      <c r="K308" s="3149" t="s">
        <v>3496</v>
      </c>
      <c r="L308" s="3150">
        <v>114.36</v>
      </c>
      <c r="M308" s="3150">
        <v>92.93</v>
      </c>
      <c r="N308" s="3161">
        <v>114.36</v>
      </c>
      <c r="O308" s="3150">
        <v>92.93</v>
      </c>
      <c r="P308" s="3151">
        <v>12540</v>
      </c>
      <c r="Q308" s="3151">
        <v>15431.77</v>
      </c>
      <c r="R308" s="3151">
        <v>1434074</v>
      </c>
      <c r="S308" s="3151">
        <v>15103.8825</v>
      </c>
      <c r="T308" s="3151">
        <v>18586.893400000001</v>
      </c>
      <c r="U308" s="3151">
        <v>1727280</v>
      </c>
      <c r="V308" s="3151">
        <v>12540</v>
      </c>
      <c r="W308" s="3151">
        <v>15431.77</v>
      </c>
      <c r="X308" s="3151">
        <v>1434074</v>
      </c>
      <c r="Y308" s="3152">
        <v>1434074</v>
      </c>
      <c r="Z308" s="3152">
        <v>0</v>
      </c>
      <c r="AA308" s="3153"/>
      <c r="AB308" s="3151">
        <v>1434074</v>
      </c>
      <c r="AC308" s="3154">
        <v>44006</v>
      </c>
      <c r="AD308" s="3154">
        <v>44089.755273182869</v>
      </c>
      <c r="AE308" s="3154">
        <v>44090.403246412032</v>
      </c>
      <c r="AF308" s="3154">
        <v>44121</v>
      </c>
      <c r="AG308" s="3154">
        <v>44125</v>
      </c>
      <c r="AH308" s="3154">
        <v>44171</v>
      </c>
      <c r="AI308" s="3154">
        <v>44182</v>
      </c>
      <c r="AJ308" s="3154">
        <v>44834</v>
      </c>
      <c r="AK308" s="3149"/>
      <c r="AL308" s="3154">
        <v>44006</v>
      </c>
      <c r="AM308" s="3149" t="s">
        <v>3416</v>
      </c>
      <c r="AN308" s="3149" t="s">
        <v>3779</v>
      </c>
      <c r="AO308" s="3149" t="s">
        <v>3581</v>
      </c>
      <c r="AP308" s="3149" t="s">
        <v>3499</v>
      </c>
      <c r="AQ308" s="3149" t="s">
        <v>3499</v>
      </c>
      <c r="AR308" s="3149" t="s">
        <v>3519</v>
      </c>
      <c r="AS308" s="3149" t="s">
        <v>3596</v>
      </c>
      <c r="AT308" s="3149"/>
    </row>
    <row r="309" spans="1:46" ht="33.75">
      <c r="A309" s="3149">
        <v>301</v>
      </c>
      <c r="B309" s="3149" t="s">
        <v>3488</v>
      </c>
      <c r="C309" s="3149" t="s">
        <v>3489</v>
      </c>
      <c r="D309" s="3149" t="s">
        <v>3490</v>
      </c>
      <c r="E309" s="3149" t="s">
        <v>3776</v>
      </c>
      <c r="F309" s="3149" t="s">
        <v>3492</v>
      </c>
      <c r="G309" s="3149" t="s">
        <v>3508</v>
      </c>
      <c r="H309" s="3149" t="s">
        <v>3509</v>
      </c>
      <c r="I309" s="3149" t="s">
        <v>3777</v>
      </c>
      <c r="J309" s="3149" t="s">
        <v>3389</v>
      </c>
      <c r="K309" s="3149" t="s">
        <v>3496</v>
      </c>
      <c r="L309" s="3150">
        <v>114.36</v>
      </c>
      <c r="M309" s="3150">
        <v>92.93</v>
      </c>
      <c r="N309" s="3161">
        <v>114.36</v>
      </c>
      <c r="O309" s="3150">
        <v>92.93</v>
      </c>
      <c r="P309" s="3151">
        <v>4300</v>
      </c>
      <c r="Q309" s="3151">
        <v>5291.6</v>
      </c>
      <c r="R309" s="3151">
        <v>491748</v>
      </c>
      <c r="S309" s="3151">
        <v>4300</v>
      </c>
      <c r="T309" s="3151">
        <v>5291.5958000000001</v>
      </c>
      <c r="U309" s="3151">
        <v>491748</v>
      </c>
      <c r="V309" s="3153"/>
      <c r="W309" s="3153"/>
      <c r="X309" s="3153"/>
      <c r="Y309" s="3153"/>
      <c r="Z309" s="3152">
        <v>0</v>
      </c>
      <c r="AA309" s="3153"/>
      <c r="AB309" s="3151">
        <v>0</v>
      </c>
      <c r="AC309" s="3154">
        <v>44006</v>
      </c>
      <c r="AD309" s="3154">
        <v>45264.773614039354</v>
      </c>
      <c r="AE309" s="3154">
        <v>44090.403246412032</v>
      </c>
      <c r="AF309" s="3149"/>
      <c r="AG309" s="3149"/>
      <c r="AH309" s="3149"/>
      <c r="AI309" s="3149"/>
      <c r="AJ309" s="3149"/>
      <c r="AK309" s="3154">
        <v>44834</v>
      </c>
      <c r="AL309" s="3154">
        <v>44006</v>
      </c>
      <c r="AM309" s="3149"/>
      <c r="AN309" s="3149"/>
      <c r="AO309" s="3149"/>
      <c r="AP309" s="3149"/>
      <c r="AQ309" s="3149"/>
      <c r="AR309" s="3149"/>
      <c r="AS309" s="3149"/>
      <c r="AT309" s="3149"/>
    </row>
    <row r="310" spans="1:46" ht="33.75">
      <c r="A310" s="3149">
        <v>302</v>
      </c>
      <c r="B310" s="3149" t="s">
        <v>3488</v>
      </c>
      <c r="C310" s="3149" t="s">
        <v>3489</v>
      </c>
      <c r="D310" s="3149" t="s">
        <v>3490</v>
      </c>
      <c r="E310" s="3149" t="s">
        <v>3776</v>
      </c>
      <c r="F310" s="3149" t="s">
        <v>3492</v>
      </c>
      <c r="G310" s="3149" t="s">
        <v>3510</v>
      </c>
      <c r="H310" s="3149" t="s">
        <v>3509</v>
      </c>
      <c r="I310" s="3149" t="s">
        <v>3777</v>
      </c>
      <c r="J310" s="3149" t="s">
        <v>3389</v>
      </c>
      <c r="K310" s="3149" t="s">
        <v>3496</v>
      </c>
      <c r="L310" s="3150">
        <v>114.36</v>
      </c>
      <c r="M310" s="3150">
        <v>92.93</v>
      </c>
      <c r="N310" s="3161">
        <v>114.36</v>
      </c>
      <c r="O310" s="3150">
        <v>92.93</v>
      </c>
      <c r="P310" s="3151">
        <v>4300</v>
      </c>
      <c r="Q310" s="3151">
        <v>5291.6</v>
      </c>
      <c r="R310" s="3151">
        <v>491748</v>
      </c>
      <c r="S310" s="3151">
        <v>4300</v>
      </c>
      <c r="T310" s="3151">
        <v>5291.5958000000001</v>
      </c>
      <c r="U310" s="3151">
        <v>491748</v>
      </c>
      <c r="V310" s="3153"/>
      <c r="W310" s="3153"/>
      <c r="X310" s="3153"/>
      <c r="Y310" s="3153"/>
      <c r="Z310" s="3152">
        <v>0</v>
      </c>
      <c r="AA310" s="3153"/>
      <c r="AB310" s="3151">
        <v>0</v>
      </c>
      <c r="AC310" s="3154">
        <v>44006</v>
      </c>
      <c r="AD310" s="3154">
        <v>45264.773614039354</v>
      </c>
      <c r="AE310" s="3154">
        <v>44090.403246412032</v>
      </c>
      <c r="AF310" s="3149"/>
      <c r="AG310" s="3149"/>
      <c r="AH310" s="3149"/>
      <c r="AI310" s="3149"/>
      <c r="AJ310" s="3149"/>
      <c r="AK310" s="3154">
        <v>44834</v>
      </c>
      <c r="AL310" s="3154">
        <v>44006</v>
      </c>
      <c r="AM310" s="3149"/>
      <c r="AN310" s="3149"/>
      <c r="AO310" s="3149"/>
      <c r="AP310" s="3149"/>
      <c r="AQ310" s="3149"/>
      <c r="AR310" s="3149"/>
      <c r="AS310" s="3149"/>
      <c r="AT310" s="3149"/>
    </row>
    <row r="311" spans="1:46" ht="33.75">
      <c r="A311" s="3149">
        <v>303</v>
      </c>
      <c r="B311" s="3149" t="s">
        <v>3488</v>
      </c>
      <c r="C311" s="3149" t="s">
        <v>3489</v>
      </c>
      <c r="D311" s="3149" t="s">
        <v>3490</v>
      </c>
      <c r="E311" s="3149" t="s">
        <v>3776</v>
      </c>
      <c r="F311" s="3149" t="s">
        <v>3492</v>
      </c>
      <c r="G311" s="3149" t="s">
        <v>3511</v>
      </c>
      <c r="H311" s="3149" t="s">
        <v>3509</v>
      </c>
      <c r="I311" s="3149" t="s">
        <v>3777</v>
      </c>
      <c r="J311" s="3149" t="s">
        <v>3389</v>
      </c>
      <c r="K311" s="3149" t="s">
        <v>3496</v>
      </c>
      <c r="L311" s="3150">
        <v>114.36</v>
      </c>
      <c r="M311" s="3150">
        <v>92.93</v>
      </c>
      <c r="N311" s="3161">
        <v>114.36</v>
      </c>
      <c r="O311" s="3150">
        <v>92.93</v>
      </c>
      <c r="P311" s="3151">
        <v>4350</v>
      </c>
      <c r="Q311" s="3151">
        <v>5353.13</v>
      </c>
      <c r="R311" s="3151">
        <v>497466</v>
      </c>
      <c r="S311" s="3151">
        <v>4350</v>
      </c>
      <c r="T311" s="3151">
        <v>5353.1260000000002</v>
      </c>
      <c r="U311" s="3151">
        <v>497466</v>
      </c>
      <c r="V311" s="3153"/>
      <c r="W311" s="3153"/>
      <c r="X311" s="3153"/>
      <c r="Y311" s="3153"/>
      <c r="Z311" s="3152">
        <v>0</v>
      </c>
      <c r="AA311" s="3153"/>
      <c r="AB311" s="3151">
        <v>0</v>
      </c>
      <c r="AC311" s="3154">
        <v>44006</v>
      </c>
      <c r="AD311" s="3154">
        <v>45264.773614039354</v>
      </c>
      <c r="AE311" s="3154">
        <v>44090.403246412032</v>
      </c>
      <c r="AF311" s="3149"/>
      <c r="AG311" s="3149"/>
      <c r="AH311" s="3149"/>
      <c r="AI311" s="3149"/>
      <c r="AJ311" s="3149"/>
      <c r="AK311" s="3149"/>
      <c r="AL311" s="3154">
        <v>44006</v>
      </c>
      <c r="AM311" s="3149"/>
      <c r="AN311" s="3149"/>
      <c r="AO311" s="3149"/>
      <c r="AP311" s="3149"/>
      <c r="AQ311" s="3149"/>
      <c r="AR311" s="3149"/>
      <c r="AS311" s="3149"/>
      <c r="AT311" s="3149"/>
    </row>
    <row r="312" spans="1:46" ht="33.75">
      <c r="A312" s="3149">
        <v>304</v>
      </c>
      <c r="B312" s="3149" t="s">
        <v>3488</v>
      </c>
      <c r="C312" s="3149" t="s">
        <v>3489</v>
      </c>
      <c r="D312" s="3149" t="s">
        <v>3490</v>
      </c>
      <c r="E312" s="3149" t="s">
        <v>3776</v>
      </c>
      <c r="F312" s="3149" t="s">
        <v>3492</v>
      </c>
      <c r="G312" s="3149" t="s">
        <v>3512</v>
      </c>
      <c r="H312" s="3149" t="s">
        <v>3509</v>
      </c>
      <c r="I312" s="3149" t="s">
        <v>3777</v>
      </c>
      <c r="J312" s="3149" t="s">
        <v>3389</v>
      </c>
      <c r="K312" s="3149" t="s">
        <v>3496</v>
      </c>
      <c r="L312" s="3150">
        <v>114.36</v>
      </c>
      <c r="M312" s="3150">
        <v>92.93</v>
      </c>
      <c r="N312" s="3161">
        <v>114.36</v>
      </c>
      <c r="O312" s="3150">
        <v>92.93</v>
      </c>
      <c r="P312" s="3151">
        <v>4350</v>
      </c>
      <c r="Q312" s="3151">
        <v>5353.13</v>
      </c>
      <c r="R312" s="3151">
        <v>497466</v>
      </c>
      <c r="S312" s="3151">
        <v>4350</v>
      </c>
      <c r="T312" s="3151">
        <v>5353.1260000000002</v>
      </c>
      <c r="U312" s="3151">
        <v>497466</v>
      </c>
      <c r="V312" s="3153"/>
      <c r="W312" s="3153"/>
      <c r="X312" s="3153"/>
      <c r="Y312" s="3153"/>
      <c r="Z312" s="3152">
        <v>0</v>
      </c>
      <c r="AA312" s="3153"/>
      <c r="AB312" s="3151">
        <v>0</v>
      </c>
      <c r="AC312" s="3154">
        <v>44006</v>
      </c>
      <c r="AD312" s="3154">
        <v>45264.773614039354</v>
      </c>
      <c r="AE312" s="3154">
        <v>44090.403246412032</v>
      </c>
      <c r="AF312" s="3149"/>
      <c r="AG312" s="3149"/>
      <c r="AH312" s="3149"/>
      <c r="AI312" s="3149"/>
      <c r="AJ312" s="3149"/>
      <c r="AK312" s="3154">
        <v>44834</v>
      </c>
      <c r="AL312" s="3154">
        <v>44006</v>
      </c>
      <c r="AM312" s="3149"/>
      <c r="AN312" s="3149"/>
      <c r="AO312" s="3149"/>
      <c r="AP312" s="3149"/>
      <c r="AQ312" s="3149"/>
      <c r="AR312" s="3149"/>
      <c r="AS312" s="3149"/>
      <c r="AT312" s="3149"/>
    </row>
    <row r="313" spans="1:46" ht="33.75">
      <c r="A313" s="3149">
        <v>305</v>
      </c>
      <c r="B313" s="3149" t="s">
        <v>3488</v>
      </c>
      <c r="C313" s="3149" t="s">
        <v>3489</v>
      </c>
      <c r="D313" s="3149" t="s">
        <v>3490</v>
      </c>
      <c r="E313" s="3149" t="s">
        <v>3776</v>
      </c>
      <c r="F313" s="3149" t="s">
        <v>3492</v>
      </c>
      <c r="G313" s="3149" t="s">
        <v>3513</v>
      </c>
      <c r="H313" s="3149" t="s">
        <v>3509</v>
      </c>
      <c r="I313" s="3149" t="s">
        <v>3777</v>
      </c>
      <c r="J313" s="3149" t="s">
        <v>3389</v>
      </c>
      <c r="K313" s="3149" t="s">
        <v>3496</v>
      </c>
      <c r="L313" s="3150">
        <v>114.36</v>
      </c>
      <c r="M313" s="3150">
        <v>92.93</v>
      </c>
      <c r="N313" s="3161">
        <v>114.36</v>
      </c>
      <c r="O313" s="3150">
        <v>92.93</v>
      </c>
      <c r="P313" s="3151">
        <v>4400</v>
      </c>
      <c r="Q313" s="3151">
        <v>5414.66</v>
      </c>
      <c r="R313" s="3151">
        <v>503184</v>
      </c>
      <c r="S313" s="3151">
        <v>4400</v>
      </c>
      <c r="T313" s="3151">
        <v>5414.6562000000004</v>
      </c>
      <c r="U313" s="3151">
        <v>503184</v>
      </c>
      <c r="V313" s="3153"/>
      <c r="W313" s="3153"/>
      <c r="X313" s="3153"/>
      <c r="Y313" s="3153"/>
      <c r="Z313" s="3152">
        <v>0</v>
      </c>
      <c r="AA313" s="3153"/>
      <c r="AB313" s="3151">
        <v>0</v>
      </c>
      <c r="AC313" s="3154">
        <v>44006</v>
      </c>
      <c r="AD313" s="3154">
        <v>45264.773614039354</v>
      </c>
      <c r="AE313" s="3154">
        <v>44090.403246412032</v>
      </c>
      <c r="AF313" s="3149"/>
      <c r="AG313" s="3149"/>
      <c r="AH313" s="3149"/>
      <c r="AI313" s="3149"/>
      <c r="AJ313" s="3149"/>
      <c r="AK313" s="3154">
        <v>44834</v>
      </c>
      <c r="AL313" s="3154">
        <v>44006</v>
      </c>
      <c r="AM313" s="3149"/>
      <c r="AN313" s="3149"/>
      <c r="AO313" s="3149"/>
      <c r="AP313" s="3149"/>
      <c r="AQ313" s="3149"/>
      <c r="AR313" s="3149"/>
      <c r="AS313" s="3149"/>
      <c r="AT313" s="3149"/>
    </row>
    <row r="314" spans="1:46" ht="33.75">
      <c r="A314" s="3149">
        <v>306</v>
      </c>
      <c r="B314" s="3149" t="s">
        <v>3488</v>
      </c>
      <c r="C314" s="3149" t="s">
        <v>3489</v>
      </c>
      <c r="D314" s="3149" t="s">
        <v>3490</v>
      </c>
      <c r="E314" s="3149" t="s">
        <v>3776</v>
      </c>
      <c r="F314" s="3149" t="s">
        <v>3492</v>
      </c>
      <c r="G314" s="3149" t="s">
        <v>3514</v>
      </c>
      <c r="H314" s="3149" t="s">
        <v>3509</v>
      </c>
      <c r="I314" s="3149" t="s">
        <v>3777</v>
      </c>
      <c r="J314" s="3149" t="s">
        <v>3389</v>
      </c>
      <c r="K314" s="3149" t="s">
        <v>3496</v>
      </c>
      <c r="L314" s="3150">
        <v>114.36</v>
      </c>
      <c r="M314" s="3150">
        <v>92.93</v>
      </c>
      <c r="N314" s="3161">
        <v>114.36</v>
      </c>
      <c r="O314" s="3150">
        <v>92.93</v>
      </c>
      <c r="P314" s="3151">
        <v>4400</v>
      </c>
      <c r="Q314" s="3151">
        <v>5414.66</v>
      </c>
      <c r="R314" s="3151">
        <v>503184</v>
      </c>
      <c r="S314" s="3151">
        <v>4400</v>
      </c>
      <c r="T314" s="3151">
        <v>5414.6562000000004</v>
      </c>
      <c r="U314" s="3151">
        <v>503184</v>
      </c>
      <c r="V314" s="3153"/>
      <c r="W314" s="3153"/>
      <c r="X314" s="3153"/>
      <c r="Y314" s="3153"/>
      <c r="Z314" s="3152">
        <v>0</v>
      </c>
      <c r="AA314" s="3153"/>
      <c r="AB314" s="3151">
        <v>0</v>
      </c>
      <c r="AC314" s="3154">
        <v>44006</v>
      </c>
      <c r="AD314" s="3154">
        <v>45264.773614039354</v>
      </c>
      <c r="AE314" s="3154">
        <v>44090.403246412032</v>
      </c>
      <c r="AF314" s="3149"/>
      <c r="AG314" s="3149"/>
      <c r="AH314" s="3149"/>
      <c r="AI314" s="3149"/>
      <c r="AJ314" s="3149"/>
      <c r="AK314" s="3149"/>
      <c r="AL314" s="3154">
        <v>44006</v>
      </c>
      <c r="AM314" s="3149"/>
      <c r="AN314" s="3149"/>
      <c r="AO314" s="3149"/>
      <c r="AP314" s="3149"/>
      <c r="AQ314" s="3149"/>
      <c r="AR314" s="3149"/>
      <c r="AS314" s="3149"/>
      <c r="AT314" s="3149"/>
    </row>
    <row r="315" spans="1:46" ht="33.75">
      <c r="A315" s="3149">
        <v>307</v>
      </c>
      <c r="B315" s="3149" t="s">
        <v>3488</v>
      </c>
      <c r="C315" s="3149" t="s">
        <v>3489</v>
      </c>
      <c r="D315" s="3149" t="s">
        <v>3490</v>
      </c>
      <c r="E315" s="3149" t="s">
        <v>3776</v>
      </c>
      <c r="F315" s="3149" t="s">
        <v>3492</v>
      </c>
      <c r="G315" s="3149" t="s">
        <v>3515</v>
      </c>
      <c r="H315" s="3149" t="s">
        <v>3509</v>
      </c>
      <c r="I315" s="3149" t="s">
        <v>3777</v>
      </c>
      <c r="J315" s="3149" t="s">
        <v>3389</v>
      </c>
      <c r="K315" s="3149" t="s">
        <v>3496</v>
      </c>
      <c r="L315" s="3150">
        <v>114.36</v>
      </c>
      <c r="M315" s="3150">
        <v>92.93</v>
      </c>
      <c r="N315" s="3161">
        <v>114.36</v>
      </c>
      <c r="O315" s="3150">
        <v>92.93</v>
      </c>
      <c r="P315" s="3151">
        <v>4600</v>
      </c>
      <c r="Q315" s="3151">
        <v>5660.78</v>
      </c>
      <c r="R315" s="3151">
        <v>526056</v>
      </c>
      <c r="S315" s="3151">
        <v>4600</v>
      </c>
      <c r="T315" s="3151">
        <v>5660.7768999999998</v>
      </c>
      <c r="U315" s="3151">
        <v>526056</v>
      </c>
      <c r="V315" s="3153"/>
      <c r="W315" s="3153"/>
      <c r="X315" s="3153"/>
      <c r="Y315" s="3153"/>
      <c r="Z315" s="3152">
        <v>0</v>
      </c>
      <c r="AA315" s="3153"/>
      <c r="AB315" s="3151">
        <v>0</v>
      </c>
      <c r="AC315" s="3154">
        <v>44006</v>
      </c>
      <c r="AD315" s="3154">
        <v>45264.773614039354</v>
      </c>
      <c r="AE315" s="3154">
        <v>44090.403246412032</v>
      </c>
      <c r="AF315" s="3149"/>
      <c r="AG315" s="3149"/>
      <c r="AH315" s="3149"/>
      <c r="AI315" s="3149"/>
      <c r="AJ315" s="3149"/>
      <c r="AK315" s="3154">
        <v>44834</v>
      </c>
      <c r="AL315" s="3154">
        <v>44006</v>
      </c>
      <c r="AM315" s="3149"/>
      <c r="AN315" s="3149"/>
      <c r="AO315" s="3149"/>
      <c r="AP315" s="3149"/>
      <c r="AQ315" s="3149"/>
      <c r="AR315" s="3149"/>
      <c r="AS315" s="3149"/>
      <c r="AT315" s="3149"/>
    </row>
    <row r="316" spans="1:46" ht="33.75">
      <c r="A316" s="3149">
        <v>308</v>
      </c>
      <c r="B316" s="3149" t="s">
        <v>3488</v>
      </c>
      <c r="C316" s="3149" t="s">
        <v>3489</v>
      </c>
      <c r="D316" s="3149" t="s">
        <v>3490</v>
      </c>
      <c r="E316" s="3149" t="s">
        <v>3776</v>
      </c>
      <c r="F316" s="3149" t="s">
        <v>3492</v>
      </c>
      <c r="G316" s="3149" t="s">
        <v>3521</v>
      </c>
      <c r="H316" s="3149" t="s">
        <v>3509</v>
      </c>
      <c r="I316" s="3149" t="s">
        <v>3777</v>
      </c>
      <c r="J316" s="3149" t="s">
        <v>3389</v>
      </c>
      <c r="K316" s="3149" t="s">
        <v>3496</v>
      </c>
      <c r="L316" s="3150">
        <v>114.36</v>
      </c>
      <c r="M316" s="3150">
        <v>92.93</v>
      </c>
      <c r="N316" s="3161">
        <v>114.36</v>
      </c>
      <c r="O316" s="3150">
        <v>92.93</v>
      </c>
      <c r="P316" s="3151">
        <v>4600</v>
      </c>
      <c r="Q316" s="3151">
        <v>5660.78</v>
      </c>
      <c r="R316" s="3151">
        <v>526056</v>
      </c>
      <c r="S316" s="3151">
        <v>4600</v>
      </c>
      <c r="T316" s="3151">
        <v>5660.7768999999998</v>
      </c>
      <c r="U316" s="3151">
        <v>526056</v>
      </c>
      <c r="V316" s="3153"/>
      <c r="W316" s="3153"/>
      <c r="X316" s="3153"/>
      <c r="Y316" s="3153"/>
      <c r="Z316" s="3152">
        <v>0</v>
      </c>
      <c r="AA316" s="3153"/>
      <c r="AB316" s="3151">
        <v>0</v>
      </c>
      <c r="AC316" s="3154">
        <v>44006</v>
      </c>
      <c r="AD316" s="3154">
        <v>45264.773614039354</v>
      </c>
      <c r="AE316" s="3154">
        <v>44090.403246412032</v>
      </c>
      <c r="AF316" s="3149"/>
      <c r="AG316" s="3149"/>
      <c r="AH316" s="3149"/>
      <c r="AI316" s="3149"/>
      <c r="AJ316" s="3149"/>
      <c r="AK316" s="3154">
        <v>44834</v>
      </c>
      <c r="AL316" s="3154">
        <v>44006</v>
      </c>
      <c r="AM316" s="3149"/>
      <c r="AN316" s="3149"/>
      <c r="AO316" s="3149"/>
      <c r="AP316" s="3149"/>
      <c r="AQ316" s="3149"/>
      <c r="AR316" s="3149"/>
      <c r="AS316" s="3149"/>
      <c r="AT316" s="3149"/>
    </row>
    <row r="317" spans="1:46" ht="33.75">
      <c r="A317" s="3149">
        <v>309</v>
      </c>
      <c r="B317" s="3149" t="s">
        <v>3488</v>
      </c>
      <c r="C317" s="3149" t="s">
        <v>3489</v>
      </c>
      <c r="D317" s="3149" t="s">
        <v>3490</v>
      </c>
      <c r="E317" s="3149" t="s">
        <v>3776</v>
      </c>
      <c r="F317" s="3149" t="s">
        <v>3492</v>
      </c>
      <c r="G317" s="3149" t="s">
        <v>3522</v>
      </c>
      <c r="H317" s="3149" t="s">
        <v>3509</v>
      </c>
      <c r="I317" s="3149" t="s">
        <v>3777</v>
      </c>
      <c r="J317" s="3149" t="s">
        <v>3389</v>
      </c>
      <c r="K317" s="3149" t="s">
        <v>3496</v>
      </c>
      <c r="L317" s="3150">
        <v>114.36</v>
      </c>
      <c r="M317" s="3150">
        <v>92.93</v>
      </c>
      <c r="N317" s="3161">
        <v>114.36</v>
      </c>
      <c r="O317" s="3150">
        <v>92.93</v>
      </c>
      <c r="P317" s="3151">
        <v>4600</v>
      </c>
      <c r="Q317" s="3151">
        <v>5660.78</v>
      </c>
      <c r="R317" s="3151">
        <v>526056</v>
      </c>
      <c r="S317" s="3151">
        <v>4600</v>
      </c>
      <c r="T317" s="3151">
        <v>5660.7768999999998</v>
      </c>
      <c r="U317" s="3151">
        <v>526056</v>
      </c>
      <c r="V317" s="3153"/>
      <c r="W317" s="3153"/>
      <c r="X317" s="3153"/>
      <c r="Y317" s="3153"/>
      <c r="Z317" s="3152">
        <v>0</v>
      </c>
      <c r="AA317" s="3153"/>
      <c r="AB317" s="3151">
        <v>0</v>
      </c>
      <c r="AC317" s="3154">
        <v>44006</v>
      </c>
      <c r="AD317" s="3154">
        <v>45264.773614039354</v>
      </c>
      <c r="AE317" s="3154">
        <v>44090.403246412032</v>
      </c>
      <c r="AF317" s="3149"/>
      <c r="AG317" s="3149"/>
      <c r="AH317" s="3149"/>
      <c r="AI317" s="3149"/>
      <c r="AJ317" s="3149"/>
      <c r="AK317" s="3154">
        <v>44834</v>
      </c>
      <c r="AL317" s="3154">
        <v>44006</v>
      </c>
      <c r="AM317" s="3149"/>
      <c r="AN317" s="3149"/>
      <c r="AO317" s="3149"/>
      <c r="AP317" s="3149"/>
      <c r="AQ317" s="3149"/>
      <c r="AR317" s="3149"/>
      <c r="AS317" s="3149"/>
      <c r="AT317" s="3149"/>
    </row>
    <row r="318" spans="1:46" ht="33.75">
      <c r="A318" s="3149">
        <v>310</v>
      </c>
      <c r="B318" s="3149" t="s">
        <v>3488</v>
      </c>
      <c r="C318" s="3149" t="s">
        <v>3489</v>
      </c>
      <c r="D318" s="3149" t="s">
        <v>3490</v>
      </c>
      <c r="E318" s="3149" t="s">
        <v>3776</v>
      </c>
      <c r="F318" s="3149" t="s">
        <v>3492</v>
      </c>
      <c r="G318" s="3149" t="s">
        <v>3523</v>
      </c>
      <c r="H318" s="3149" t="s">
        <v>3509</v>
      </c>
      <c r="I318" s="3149" t="s">
        <v>3777</v>
      </c>
      <c r="J318" s="3149" t="s">
        <v>3389</v>
      </c>
      <c r="K318" s="3149" t="s">
        <v>3496</v>
      </c>
      <c r="L318" s="3150">
        <v>114.36</v>
      </c>
      <c r="M318" s="3150">
        <v>92.93</v>
      </c>
      <c r="N318" s="3161">
        <v>114.36</v>
      </c>
      <c r="O318" s="3150">
        <v>92.93</v>
      </c>
      <c r="P318" s="3151">
        <v>4600</v>
      </c>
      <c r="Q318" s="3151">
        <v>5660.78</v>
      </c>
      <c r="R318" s="3151">
        <v>526056</v>
      </c>
      <c r="S318" s="3151">
        <v>4600</v>
      </c>
      <c r="T318" s="3151">
        <v>5660.7768999999998</v>
      </c>
      <c r="U318" s="3151">
        <v>526056</v>
      </c>
      <c r="V318" s="3153"/>
      <c r="W318" s="3153"/>
      <c r="X318" s="3153"/>
      <c r="Y318" s="3153"/>
      <c r="Z318" s="3152">
        <v>0</v>
      </c>
      <c r="AA318" s="3153"/>
      <c r="AB318" s="3151">
        <v>0</v>
      </c>
      <c r="AC318" s="3154">
        <v>44006</v>
      </c>
      <c r="AD318" s="3154">
        <v>45264.773614039354</v>
      </c>
      <c r="AE318" s="3154">
        <v>44090.403246412032</v>
      </c>
      <c r="AF318" s="3149"/>
      <c r="AG318" s="3149"/>
      <c r="AH318" s="3149"/>
      <c r="AI318" s="3149"/>
      <c r="AJ318" s="3149"/>
      <c r="AK318" s="3154">
        <v>44834</v>
      </c>
      <c r="AL318" s="3154">
        <v>44006</v>
      </c>
      <c r="AM318" s="3149"/>
      <c r="AN318" s="3149"/>
      <c r="AO318" s="3149"/>
      <c r="AP318" s="3149"/>
      <c r="AQ318" s="3149"/>
      <c r="AR318" s="3149"/>
      <c r="AS318" s="3149"/>
      <c r="AT318" s="3149"/>
    </row>
    <row r="319" spans="1:46" ht="33.75">
      <c r="A319" s="3149">
        <v>311</v>
      </c>
      <c r="B319" s="3149" t="s">
        <v>3488</v>
      </c>
      <c r="C319" s="3149" t="s">
        <v>3489</v>
      </c>
      <c r="D319" s="3149" t="s">
        <v>3490</v>
      </c>
      <c r="E319" s="3149" t="s">
        <v>3776</v>
      </c>
      <c r="F319" s="3149" t="s">
        <v>3492</v>
      </c>
      <c r="G319" s="3149" t="s">
        <v>3525</v>
      </c>
      <c r="H319" s="3149" t="s">
        <v>3509</v>
      </c>
      <c r="I319" s="3149" t="s">
        <v>3777</v>
      </c>
      <c r="J319" s="3149" t="s">
        <v>3389</v>
      </c>
      <c r="K319" s="3149" t="s">
        <v>3496</v>
      </c>
      <c r="L319" s="3150">
        <v>114.36</v>
      </c>
      <c r="M319" s="3150">
        <v>92.93</v>
      </c>
      <c r="N319" s="3161">
        <v>114.36</v>
      </c>
      <c r="O319" s="3150">
        <v>92.93</v>
      </c>
      <c r="P319" s="3151">
        <v>4550</v>
      </c>
      <c r="Q319" s="3151">
        <v>5599.25</v>
      </c>
      <c r="R319" s="3151">
        <v>520338</v>
      </c>
      <c r="S319" s="3151">
        <v>4550</v>
      </c>
      <c r="T319" s="3151">
        <v>5599.2466999999997</v>
      </c>
      <c r="U319" s="3151">
        <v>520338</v>
      </c>
      <c r="V319" s="3153"/>
      <c r="W319" s="3153"/>
      <c r="X319" s="3153"/>
      <c r="Y319" s="3153"/>
      <c r="Z319" s="3152">
        <v>0</v>
      </c>
      <c r="AA319" s="3153"/>
      <c r="AB319" s="3151">
        <v>0</v>
      </c>
      <c r="AC319" s="3154">
        <v>44006</v>
      </c>
      <c r="AD319" s="3154">
        <v>45264.773614039354</v>
      </c>
      <c r="AE319" s="3154">
        <v>44090.403246412032</v>
      </c>
      <c r="AF319" s="3149"/>
      <c r="AG319" s="3149"/>
      <c r="AH319" s="3149"/>
      <c r="AI319" s="3149"/>
      <c r="AJ319" s="3149"/>
      <c r="AK319" s="3154">
        <v>44834</v>
      </c>
      <c r="AL319" s="3154">
        <v>44006</v>
      </c>
      <c r="AM319" s="3149"/>
      <c r="AN319" s="3149"/>
      <c r="AO319" s="3149"/>
      <c r="AP319" s="3149"/>
      <c r="AQ319" s="3149"/>
      <c r="AR319" s="3149"/>
      <c r="AS319" s="3149"/>
      <c r="AT319" s="3149"/>
    </row>
    <row r="320" spans="1:46" ht="33.75">
      <c r="A320" s="3149">
        <v>312</v>
      </c>
      <c r="B320" s="3149" t="s">
        <v>3488</v>
      </c>
      <c r="C320" s="3149" t="s">
        <v>3489</v>
      </c>
      <c r="D320" s="3149" t="s">
        <v>3490</v>
      </c>
      <c r="E320" s="3149" t="s">
        <v>3776</v>
      </c>
      <c r="F320" s="3149" t="s">
        <v>3492</v>
      </c>
      <c r="G320" s="3149" t="s">
        <v>3528</v>
      </c>
      <c r="H320" s="3149" t="s">
        <v>3509</v>
      </c>
      <c r="I320" s="3149" t="s">
        <v>3777</v>
      </c>
      <c r="J320" s="3149" t="s">
        <v>3389</v>
      </c>
      <c r="K320" s="3149" t="s">
        <v>3496</v>
      </c>
      <c r="L320" s="3150">
        <v>114.36</v>
      </c>
      <c r="M320" s="3150">
        <v>92.93</v>
      </c>
      <c r="N320" s="3161">
        <v>114.36</v>
      </c>
      <c r="O320" s="3150">
        <v>92.93</v>
      </c>
      <c r="P320" s="3151">
        <v>4550</v>
      </c>
      <c r="Q320" s="3151">
        <v>5599.25</v>
      </c>
      <c r="R320" s="3151">
        <v>520338</v>
      </c>
      <c r="S320" s="3151">
        <v>4550</v>
      </c>
      <c r="T320" s="3151">
        <v>5599.2466999999997</v>
      </c>
      <c r="U320" s="3151">
        <v>520338</v>
      </c>
      <c r="V320" s="3153"/>
      <c r="W320" s="3153"/>
      <c r="X320" s="3153"/>
      <c r="Y320" s="3153"/>
      <c r="Z320" s="3152">
        <v>0</v>
      </c>
      <c r="AA320" s="3153"/>
      <c r="AB320" s="3151">
        <v>0</v>
      </c>
      <c r="AC320" s="3154">
        <v>44006</v>
      </c>
      <c r="AD320" s="3154">
        <v>45264.773614039354</v>
      </c>
      <c r="AE320" s="3154">
        <v>44090.403246412032</v>
      </c>
      <c r="AF320" s="3149"/>
      <c r="AG320" s="3149"/>
      <c r="AH320" s="3149"/>
      <c r="AI320" s="3149"/>
      <c r="AJ320" s="3149"/>
      <c r="AK320" s="3154">
        <v>44834</v>
      </c>
      <c r="AL320" s="3154">
        <v>44006</v>
      </c>
      <c r="AM320" s="3149"/>
      <c r="AN320" s="3149"/>
      <c r="AO320" s="3149"/>
      <c r="AP320" s="3149"/>
      <c r="AQ320" s="3149"/>
      <c r="AR320" s="3149"/>
      <c r="AS320" s="3149"/>
      <c r="AT320" s="3149"/>
    </row>
    <row r="321" spans="1:46" ht="33.75">
      <c r="A321" s="3149">
        <v>313</v>
      </c>
      <c r="B321" s="3149" t="s">
        <v>3488</v>
      </c>
      <c r="C321" s="3149" t="s">
        <v>3489</v>
      </c>
      <c r="D321" s="3149" t="s">
        <v>3490</v>
      </c>
      <c r="E321" s="3149" t="s">
        <v>3776</v>
      </c>
      <c r="F321" s="3149" t="s">
        <v>3492</v>
      </c>
      <c r="G321" s="3149" t="s">
        <v>3529</v>
      </c>
      <c r="H321" s="3149" t="s">
        <v>3509</v>
      </c>
      <c r="I321" s="3149" t="s">
        <v>3777</v>
      </c>
      <c r="J321" s="3149" t="s">
        <v>3389</v>
      </c>
      <c r="K321" s="3149" t="s">
        <v>3496</v>
      </c>
      <c r="L321" s="3150">
        <v>114.36</v>
      </c>
      <c r="M321" s="3150">
        <v>92.93</v>
      </c>
      <c r="N321" s="3161">
        <v>114.36</v>
      </c>
      <c r="O321" s="3150">
        <v>92.93</v>
      </c>
      <c r="P321" s="3151">
        <v>4600</v>
      </c>
      <c r="Q321" s="3151">
        <v>5660.78</v>
      </c>
      <c r="R321" s="3151">
        <v>526056</v>
      </c>
      <c r="S321" s="3151">
        <v>4600</v>
      </c>
      <c r="T321" s="3151">
        <v>5660.7768999999998</v>
      </c>
      <c r="U321" s="3151">
        <v>526056</v>
      </c>
      <c r="V321" s="3153"/>
      <c r="W321" s="3153"/>
      <c r="X321" s="3153"/>
      <c r="Y321" s="3153"/>
      <c r="Z321" s="3152">
        <v>0</v>
      </c>
      <c r="AA321" s="3153"/>
      <c r="AB321" s="3151">
        <v>0</v>
      </c>
      <c r="AC321" s="3154">
        <v>44006</v>
      </c>
      <c r="AD321" s="3154">
        <v>45264.773614039354</v>
      </c>
      <c r="AE321" s="3154">
        <v>44090.403246412032</v>
      </c>
      <c r="AF321" s="3149"/>
      <c r="AG321" s="3149"/>
      <c r="AH321" s="3149"/>
      <c r="AI321" s="3149"/>
      <c r="AJ321" s="3149"/>
      <c r="AK321" s="3154">
        <v>44834</v>
      </c>
      <c r="AL321" s="3154">
        <v>44006</v>
      </c>
      <c r="AM321" s="3149"/>
      <c r="AN321" s="3149"/>
      <c r="AO321" s="3149"/>
      <c r="AP321" s="3149"/>
      <c r="AQ321" s="3149"/>
      <c r="AR321" s="3149"/>
      <c r="AS321" s="3149"/>
      <c r="AT321" s="3149"/>
    </row>
    <row r="322" spans="1:46" ht="33.75">
      <c r="A322" s="3149">
        <v>314</v>
      </c>
      <c r="B322" s="3149" t="s">
        <v>3488</v>
      </c>
      <c r="C322" s="3149" t="s">
        <v>3489</v>
      </c>
      <c r="D322" s="3149" t="s">
        <v>3490</v>
      </c>
      <c r="E322" s="3149" t="s">
        <v>3776</v>
      </c>
      <c r="F322" s="3149" t="s">
        <v>3492</v>
      </c>
      <c r="G322" s="3149" t="s">
        <v>3530</v>
      </c>
      <c r="H322" s="3149" t="s">
        <v>3509</v>
      </c>
      <c r="I322" s="3149" t="s">
        <v>3777</v>
      </c>
      <c r="J322" s="3149" t="s">
        <v>3389</v>
      </c>
      <c r="K322" s="3149" t="s">
        <v>3496</v>
      </c>
      <c r="L322" s="3150">
        <v>114.36</v>
      </c>
      <c r="M322" s="3150">
        <v>92.93</v>
      </c>
      <c r="N322" s="3161">
        <v>114.36</v>
      </c>
      <c r="O322" s="3150">
        <v>92.93</v>
      </c>
      <c r="P322" s="3151">
        <v>4600</v>
      </c>
      <c r="Q322" s="3151">
        <v>5660.78</v>
      </c>
      <c r="R322" s="3151">
        <v>526056</v>
      </c>
      <c r="S322" s="3151">
        <v>4600</v>
      </c>
      <c r="T322" s="3151">
        <v>5660.7768999999998</v>
      </c>
      <c r="U322" s="3151">
        <v>526056</v>
      </c>
      <c r="V322" s="3153"/>
      <c r="W322" s="3153"/>
      <c r="X322" s="3153"/>
      <c r="Y322" s="3153"/>
      <c r="Z322" s="3152">
        <v>0</v>
      </c>
      <c r="AA322" s="3153"/>
      <c r="AB322" s="3151">
        <v>0</v>
      </c>
      <c r="AC322" s="3154">
        <v>44006</v>
      </c>
      <c r="AD322" s="3154">
        <v>45264.773614039354</v>
      </c>
      <c r="AE322" s="3154">
        <v>44090.403246412032</v>
      </c>
      <c r="AF322" s="3149"/>
      <c r="AG322" s="3149"/>
      <c r="AH322" s="3149"/>
      <c r="AI322" s="3149"/>
      <c r="AJ322" s="3149"/>
      <c r="AK322" s="3154">
        <v>44834</v>
      </c>
      <c r="AL322" s="3154">
        <v>44006</v>
      </c>
      <c r="AM322" s="3149"/>
      <c r="AN322" s="3149"/>
      <c r="AO322" s="3149"/>
      <c r="AP322" s="3149"/>
      <c r="AQ322" s="3149"/>
      <c r="AR322" s="3149"/>
      <c r="AS322" s="3149"/>
      <c r="AT322" s="3149"/>
    </row>
    <row r="323" spans="1:46" ht="33.75">
      <c r="A323" s="3149">
        <v>315</v>
      </c>
      <c r="B323" s="3149" t="s">
        <v>3488</v>
      </c>
      <c r="C323" s="3149" t="s">
        <v>3489</v>
      </c>
      <c r="D323" s="3149" t="s">
        <v>3490</v>
      </c>
      <c r="E323" s="3149" t="s">
        <v>3776</v>
      </c>
      <c r="F323" s="3149" t="s">
        <v>3492</v>
      </c>
      <c r="G323" s="3149" t="s">
        <v>3532</v>
      </c>
      <c r="H323" s="3149" t="s">
        <v>3509</v>
      </c>
      <c r="I323" s="3149" t="s">
        <v>3777</v>
      </c>
      <c r="J323" s="3149" t="s">
        <v>3389</v>
      </c>
      <c r="K323" s="3149" t="s">
        <v>3496</v>
      </c>
      <c r="L323" s="3150">
        <v>155.72999999999999</v>
      </c>
      <c r="M323" s="3150">
        <v>126.55</v>
      </c>
      <c r="N323" s="3161">
        <v>155.72999999999999</v>
      </c>
      <c r="O323" s="3150">
        <v>126.55</v>
      </c>
      <c r="P323" s="3151">
        <v>4600</v>
      </c>
      <c r="Q323" s="3151">
        <v>5660.67</v>
      </c>
      <c r="R323" s="3151">
        <v>716358</v>
      </c>
      <c r="S323" s="3151">
        <v>4600</v>
      </c>
      <c r="T323" s="3151">
        <v>5660.6716999999999</v>
      </c>
      <c r="U323" s="3151">
        <v>716358</v>
      </c>
      <c r="V323" s="3153"/>
      <c r="W323" s="3153"/>
      <c r="X323" s="3153"/>
      <c r="Y323" s="3153"/>
      <c r="Z323" s="3152">
        <v>0</v>
      </c>
      <c r="AA323" s="3153"/>
      <c r="AB323" s="3151">
        <v>0</v>
      </c>
      <c r="AC323" s="3154">
        <v>44006</v>
      </c>
      <c r="AD323" s="3154">
        <v>45264.773614039354</v>
      </c>
      <c r="AE323" s="3154">
        <v>44090.403246412032</v>
      </c>
      <c r="AF323" s="3149"/>
      <c r="AG323" s="3149"/>
      <c r="AH323" s="3149"/>
      <c r="AI323" s="3149"/>
      <c r="AJ323" s="3149"/>
      <c r="AK323" s="3154">
        <v>44834</v>
      </c>
      <c r="AL323" s="3154">
        <v>44006</v>
      </c>
      <c r="AM323" s="3149"/>
      <c r="AN323" s="3149"/>
      <c r="AO323" s="3149"/>
      <c r="AP323" s="3149"/>
      <c r="AQ323" s="3149"/>
      <c r="AR323" s="3149"/>
      <c r="AS323" s="3149"/>
      <c r="AT323" s="3149"/>
    </row>
    <row r="324" spans="1:46" ht="33.75">
      <c r="A324" s="3149">
        <v>316</v>
      </c>
      <c r="B324" s="3149" t="s">
        <v>3488</v>
      </c>
      <c r="C324" s="3149" t="s">
        <v>3489</v>
      </c>
      <c r="D324" s="3149" t="s">
        <v>3490</v>
      </c>
      <c r="E324" s="3149" t="s">
        <v>3776</v>
      </c>
      <c r="F324" s="3149" t="s">
        <v>3492</v>
      </c>
      <c r="G324" s="3149" t="s">
        <v>3534</v>
      </c>
      <c r="H324" s="3149" t="s">
        <v>3509</v>
      </c>
      <c r="I324" s="3149" t="s">
        <v>3777</v>
      </c>
      <c r="J324" s="3149" t="s">
        <v>3389</v>
      </c>
      <c r="K324" s="3149" t="s">
        <v>3496</v>
      </c>
      <c r="L324" s="3150">
        <v>151.86000000000001</v>
      </c>
      <c r="M324" s="3150">
        <v>123.4</v>
      </c>
      <c r="N324" s="3161">
        <v>151.86000000000001</v>
      </c>
      <c r="O324" s="3150">
        <v>123.4</v>
      </c>
      <c r="P324" s="3151">
        <v>4600</v>
      </c>
      <c r="Q324" s="3151">
        <v>5660.91</v>
      </c>
      <c r="R324" s="3151">
        <v>698556</v>
      </c>
      <c r="S324" s="3151">
        <v>4600</v>
      </c>
      <c r="T324" s="3151">
        <v>5660.9075999999995</v>
      </c>
      <c r="U324" s="3151">
        <v>698556</v>
      </c>
      <c r="V324" s="3153"/>
      <c r="W324" s="3153"/>
      <c r="X324" s="3153"/>
      <c r="Y324" s="3153"/>
      <c r="Z324" s="3152">
        <v>0</v>
      </c>
      <c r="AA324" s="3153"/>
      <c r="AB324" s="3151">
        <v>0</v>
      </c>
      <c r="AC324" s="3154">
        <v>44006</v>
      </c>
      <c r="AD324" s="3154">
        <v>45264.773614039354</v>
      </c>
      <c r="AE324" s="3154">
        <v>44090.403246412032</v>
      </c>
      <c r="AF324" s="3149"/>
      <c r="AG324" s="3149"/>
      <c r="AH324" s="3149"/>
      <c r="AI324" s="3149"/>
      <c r="AJ324" s="3149"/>
      <c r="AK324" s="3154">
        <v>44834</v>
      </c>
      <c r="AL324" s="3154">
        <v>44006</v>
      </c>
      <c r="AM324" s="3149"/>
      <c r="AN324" s="3149"/>
      <c r="AO324" s="3149"/>
      <c r="AP324" s="3149"/>
      <c r="AQ324" s="3149"/>
      <c r="AR324" s="3149"/>
      <c r="AS324" s="3149"/>
      <c r="AT324" s="3149"/>
    </row>
    <row r="325" spans="1:46" ht="33.75">
      <c r="A325" s="3149">
        <v>317</v>
      </c>
      <c r="B325" s="3149" t="s">
        <v>3488</v>
      </c>
      <c r="C325" s="3149" t="s">
        <v>3820</v>
      </c>
      <c r="D325" s="3149" t="s">
        <v>3490</v>
      </c>
      <c r="E325" s="3149" t="s">
        <v>3776</v>
      </c>
      <c r="F325" s="3149" t="s">
        <v>3538</v>
      </c>
      <c r="G325" s="3149" t="s">
        <v>3493</v>
      </c>
      <c r="H325" s="3149" t="s">
        <v>3494</v>
      </c>
      <c r="I325" s="3149" t="s">
        <v>3777</v>
      </c>
      <c r="J325" s="3149" t="s">
        <v>3389</v>
      </c>
      <c r="K325" s="3149" t="s">
        <v>3496</v>
      </c>
      <c r="L325" s="3150">
        <v>114.36</v>
      </c>
      <c r="M325" s="3150">
        <v>92.93</v>
      </c>
      <c r="N325" s="3161">
        <v>114.36</v>
      </c>
      <c r="O325" s="3150">
        <v>92.93</v>
      </c>
      <c r="P325" s="3151">
        <v>12540</v>
      </c>
      <c r="Q325" s="3151">
        <v>15431.77</v>
      </c>
      <c r="R325" s="3151">
        <v>1434074</v>
      </c>
      <c r="S325" s="3151">
        <v>15103.8825</v>
      </c>
      <c r="T325" s="3151">
        <v>18586.893400000001</v>
      </c>
      <c r="U325" s="3151">
        <v>1727280</v>
      </c>
      <c r="V325" s="3151">
        <v>13236.66</v>
      </c>
      <c r="W325" s="3151">
        <v>16289.09</v>
      </c>
      <c r="X325" s="3151">
        <v>1513745</v>
      </c>
      <c r="Y325" s="3152">
        <v>1513745</v>
      </c>
      <c r="Z325" s="3152">
        <v>0</v>
      </c>
      <c r="AA325" s="3153"/>
      <c r="AB325" s="3151">
        <v>1513745</v>
      </c>
      <c r="AC325" s="3154">
        <v>44006</v>
      </c>
      <c r="AD325" s="3154">
        <v>44089.755273182869</v>
      </c>
      <c r="AE325" s="3154">
        <v>44090.403246412032</v>
      </c>
      <c r="AF325" s="3154">
        <v>44096</v>
      </c>
      <c r="AG325" s="3154">
        <v>44096</v>
      </c>
      <c r="AH325" s="3154">
        <v>44144</v>
      </c>
      <c r="AI325" s="3154">
        <v>44148</v>
      </c>
      <c r="AJ325" s="3154">
        <v>44834</v>
      </c>
      <c r="AK325" s="3154">
        <v>44834</v>
      </c>
      <c r="AL325" s="3154">
        <v>44006</v>
      </c>
      <c r="AM325" s="3149" t="s">
        <v>3416</v>
      </c>
      <c r="AN325" s="3149" t="s">
        <v>3780</v>
      </c>
      <c r="AO325" s="3149" t="s">
        <v>3498</v>
      </c>
      <c r="AP325" s="3149" t="s">
        <v>3499</v>
      </c>
      <c r="AQ325" s="3149" t="s">
        <v>3499</v>
      </c>
      <c r="AR325" s="3149" t="s">
        <v>3500</v>
      </c>
      <c r="AS325" s="3149" t="s">
        <v>3501</v>
      </c>
      <c r="AT325" s="3149"/>
    </row>
    <row r="326" spans="1:46" ht="33.75">
      <c r="A326" s="3149">
        <v>318</v>
      </c>
      <c r="B326" s="3149" t="s">
        <v>3488</v>
      </c>
      <c r="C326" s="3149" t="s">
        <v>3489</v>
      </c>
      <c r="D326" s="3149" t="s">
        <v>3490</v>
      </c>
      <c r="E326" s="3149" t="s">
        <v>3776</v>
      </c>
      <c r="F326" s="3149" t="s">
        <v>3538</v>
      </c>
      <c r="G326" s="3149" t="s">
        <v>3502</v>
      </c>
      <c r="H326" s="3149" t="s">
        <v>3494</v>
      </c>
      <c r="I326" s="3149" t="s">
        <v>3777</v>
      </c>
      <c r="J326" s="3149" t="s">
        <v>3389</v>
      </c>
      <c r="K326" s="3149" t="s">
        <v>3496</v>
      </c>
      <c r="L326" s="3150">
        <v>114.36</v>
      </c>
      <c r="M326" s="3150">
        <v>92.93</v>
      </c>
      <c r="N326" s="3161">
        <v>114.36</v>
      </c>
      <c r="O326" s="3150">
        <v>92.93</v>
      </c>
      <c r="P326" s="3151">
        <v>12540</v>
      </c>
      <c r="Q326" s="3151">
        <v>15431.77</v>
      </c>
      <c r="R326" s="3151">
        <v>1434074</v>
      </c>
      <c r="S326" s="3151">
        <v>15103.8825</v>
      </c>
      <c r="T326" s="3151">
        <v>18586.893400000001</v>
      </c>
      <c r="U326" s="3151">
        <v>1727280</v>
      </c>
      <c r="V326" s="3151">
        <v>13236.66</v>
      </c>
      <c r="W326" s="3151">
        <v>16289.09</v>
      </c>
      <c r="X326" s="3151">
        <v>1513745</v>
      </c>
      <c r="Y326" s="3152">
        <v>1513745</v>
      </c>
      <c r="Z326" s="3152">
        <v>0</v>
      </c>
      <c r="AA326" s="3153"/>
      <c r="AB326" s="3151">
        <v>1513745</v>
      </c>
      <c r="AC326" s="3154">
        <v>44006</v>
      </c>
      <c r="AD326" s="3154">
        <v>44089.755273182869</v>
      </c>
      <c r="AE326" s="3154">
        <v>44090.403246412032</v>
      </c>
      <c r="AF326" s="3154">
        <v>44096</v>
      </c>
      <c r="AG326" s="3154">
        <v>44096</v>
      </c>
      <c r="AH326" s="3154">
        <v>44144</v>
      </c>
      <c r="AI326" s="3154">
        <v>44148</v>
      </c>
      <c r="AJ326" s="3154">
        <v>44834</v>
      </c>
      <c r="AK326" s="3154">
        <v>44834</v>
      </c>
      <c r="AL326" s="3154">
        <v>44006</v>
      </c>
      <c r="AM326" s="3149" t="s">
        <v>3416</v>
      </c>
      <c r="AN326" s="3149" t="s">
        <v>3781</v>
      </c>
      <c r="AO326" s="3149" t="s">
        <v>3498</v>
      </c>
      <c r="AP326" s="3149" t="s">
        <v>3499</v>
      </c>
      <c r="AQ326" s="3149" t="s">
        <v>3499</v>
      </c>
      <c r="AR326" s="3149" t="s">
        <v>3500</v>
      </c>
      <c r="AS326" s="3149" t="s">
        <v>3501</v>
      </c>
      <c r="AT326" s="3149"/>
    </row>
    <row r="327" spans="1:46" ht="33.75">
      <c r="A327" s="3149">
        <v>319</v>
      </c>
      <c r="B327" s="3149" t="s">
        <v>3488</v>
      </c>
      <c r="C327" s="3149" t="s">
        <v>3489</v>
      </c>
      <c r="D327" s="3149" t="s">
        <v>3490</v>
      </c>
      <c r="E327" s="3149" t="s">
        <v>3776</v>
      </c>
      <c r="F327" s="3149" t="s">
        <v>3538</v>
      </c>
      <c r="G327" s="3149" t="s">
        <v>3508</v>
      </c>
      <c r="H327" s="3149" t="s">
        <v>3509</v>
      </c>
      <c r="I327" s="3149" t="s">
        <v>3777</v>
      </c>
      <c r="J327" s="3149" t="s">
        <v>3389</v>
      </c>
      <c r="K327" s="3149" t="s">
        <v>3496</v>
      </c>
      <c r="L327" s="3150">
        <v>114.36</v>
      </c>
      <c r="M327" s="3150">
        <v>92.93</v>
      </c>
      <c r="N327" s="3161">
        <v>114.36</v>
      </c>
      <c r="O327" s="3150">
        <v>92.93</v>
      </c>
      <c r="P327" s="3151">
        <v>4300</v>
      </c>
      <c r="Q327" s="3151">
        <v>5291.6</v>
      </c>
      <c r="R327" s="3151">
        <v>491748</v>
      </c>
      <c r="S327" s="3151">
        <v>4300</v>
      </c>
      <c r="T327" s="3151">
        <v>5291.5958000000001</v>
      </c>
      <c r="U327" s="3151">
        <v>491748</v>
      </c>
      <c r="V327" s="3153"/>
      <c r="W327" s="3153"/>
      <c r="X327" s="3153"/>
      <c r="Y327" s="3153"/>
      <c r="Z327" s="3152">
        <v>0</v>
      </c>
      <c r="AA327" s="3153"/>
      <c r="AB327" s="3151">
        <v>0</v>
      </c>
      <c r="AC327" s="3154">
        <v>44006</v>
      </c>
      <c r="AD327" s="3154">
        <v>45264.773614039354</v>
      </c>
      <c r="AE327" s="3154">
        <v>44090.403246412032</v>
      </c>
      <c r="AF327" s="3149"/>
      <c r="AG327" s="3149"/>
      <c r="AH327" s="3149"/>
      <c r="AI327" s="3149"/>
      <c r="AJ327" s="3149"/>
      <c r="AK327" s="3154">
        <v>44834</v>
      </c>
      <c r="AL327" s="3154">
        <v>44006</v>
      </c>
      <c r="AM327" s="3149"/>
      <c r="AN327" s="3149"/>
      <c r="AO327" s="3149"/>
      <c r="AP327" s="3149"/>
      <c r="AQ327" s="3149"/>
      <c r="AR327" s="3149"/>
      <c r="AS327" s="3149"/>
      <c r="AT327" s="3149"/>
    </row>
    <row r="328" spans="1:46" ht="33.75">
      <c r="A328" s="3149">
        <v>320</v>
      </c>
      <c r="B328" s="3149" t="s">
        <v>3488</v>
      </c>
      <c r="C328" s="3149" t="s">
        <v>3489</v>
      </c>
      <c r="D328" s="3149" t="s">
        <v>3490</v>
      </c>
      <c r="E328" s="3149" t="s">
        <v>3776</v>
      </c>
      <c r="F328" s="3149" t="s">
        <v>3538</v>
      </c>
      <c r="G328" s="3149" t="s">
        <v>3510</v>
      </c>
      <c r="H328" s="3149" t="s">
        <v>3509</v>
      </c>
      <c r="I328" s="3149" t="s">
        <v>3777</v>
      </c>
      <c r="J328" s="3149" t="s">
        <v>3389</v>
      </c>
      <c r="K328" s="3149" t="s">
        <v>3496</v>
      </c>
      <c r="L328" s="3150">
        <v>114.36</v>
      </c>
      <c r="M328" s="3150">
        <v>92.93</v>
      </c>
      <c r="N328" s="3161">
        <v>114.36</v>
      </c>
      <c r="O328" s="3150">
        <v>92.93</v>
      </c>
      <c r="P328" s="3151">
        <v>4300</v>
      </c>
      <c r="Q328" s="3151">
        <v>5291.6</v>
      </c>
      <c r="R328" s="3151">
        <v>491748</v>
      </c>
      <c r="S328" s="3151">
        <v>4300</v>
      </c>
      <c r="T328" s="3151">
        <v>5291.5958000000001</v>
      </c>
      <c r="U328" s="3151">
        <v>491748</v>
      </c>
      <c r="V328" s="3153"/>
      <c r="W328" s="3153"/>
      <c r="X328" s="3153"/>
      <c r="Y328" s="3153"/>
      <c r="Z328" s="3152">
        <v>0</v>
      </c>
      <c r="AA328" s="3153"/>
      <c r="AB328" s="3151">
        <v>0</v>
      </c>
      <c r="AC328" s="3154">
        <v>44006</v>
      </c>
      <c r="AD328" s="3154">
        <v>45264.773614039354</v>
      </c>
      <c r="AE328" s="3154">
        <v>44090.403246412032</v>
      </c>
      <c r="AF328" s="3149"/>
      <c r="AG328" s="3149"/>
      <c r="AH328" s="3149"/>
      <c r="AI328" s="3149"/>
      <c r="AJ328" s="3149"/>
      <c r="AK328" s="3149"/>
      <c r="AL328" s="3154">
        <v>44006</v>
      </c>
      <c r="AM328" s="3149"/>
      <c r="AN328" s="3149"/>
      <c r="AO328" s="3149"/>
      <c r="AP328" s="3149"/>
      <c r="AQ328" s="3149"/>
      <c r="AR328" s="3149"/>
      <c r="AS328" s="3149"/>
      <c r="AT328" s="3149"/>
    </row>
    <row r="329" spans="1:46" ht="33.75">
      <c r="A329" s="3149">
        <v>321</v>
      </c>
      <c r="B329" s="3149" t="s">
        <v>3488</v>
      </c>
      <c r="C329" s="3149" t="s">
        <v>3489</v>
      </c>
      <c r="D329" s="3149" t="s">
        <v>3490</v>
      </c>
      <c r="E329" s="3149" t="s">
        <v>3776</v>
      </c>
      <c r="F329" s="3149" t="s">
        <v>3538</v>
      </c>
      <c r="G329" s="3149" t="s">
        <v>3511</v>
      </c>
      <c r="H329" s="3149" t="s">
        <v>3509</v>
      </c>
      <c r="I329" s="3149" t="s">
        <v>3777</v>
      </c>
      <c r="J329" s="3149" t="s">
        <v>3389</v>
      </c>
      <c r="K329" s="3149" t="s">
        <v>3496</v>
      </c>
      <c r="L329" s="3150">
        <v>114.36</v>
      </c>
      <c r="M329" s="3150">
        <v>92.93</v>
      </c>
      <c r="N329" s="3161">
        <v>114.36</v>
      </c>
      <c r="O329" s="3150">
        <v>92.93</v>
      </c>
      <c r="P329" s="3151">
        <v>4350</v>
      </c>
      <c r="Q329" s="3151">
        <v>5353.13</v>
      </c>
      <c r="R329" s="3151">
        <v>497466</v>
      </c>
      <c r="S329" s="3151">
        <v>4350</v>
      </c>
      <c r="T329" s="3151">
        <v>5353.1260000000002</v>
      </c>
      <c r="U329" s="3151">
        <v>497466</v>
      </c>
      <c r="V329" s="3153"/>
      <c r="W329" s="3153"/>
      <c r="X329" s="3153"/>
      <c r="Y329" s="3153"/>
      <c r="Z329" s="3152">
        <v>0</v>
      </c>
      <c r="AA329" s="3153"/>
      <c r="AB329" s="3151">
        <v>0</v>
      </c>
      <c r="AC329" s="3154">
        <v>44006</v>
      </c>
      <c r="AD329" s="3154">
        <v>45264.773614039354</v>
      </c>
      <c r="AE329" s="3154">
        <v>44090.403246412032</v>
      </c>
      <c r="AF329" s="3149"/>
      <c r="AG329" s="3149"/>
      <c r="AH329" s="3149"/>
      <c r="AI329" s="3149"/>
      <c r="AJ329" s="3149"/>
      <c r="AK329" s="3154">
        <v>44834</v>
      </c>
      <c r="AL329" s="3154">
        <v>44006</v>
      </c>
      <c r="AM329" s="3149"/>
      <c r="AN329" s="3149"/>
      <c r="AO329" s="3149"/>
      <c r="AP329" s="3149"/>
      <c r="AQ329" s="3149"/>
      <c r="AR329" s="3149"/>
      <c r="AS329" s="3149"/>
      <c r="AT329" s="3149"/>
    </row>
    <row r="330" spans="1:46" ht="33.75">
      <c r="A330" s="3149">
        <v>322</v>
      </c>
      <c r="B330" s="3149" t="s">
        <v>3488</v>
      </c>
      <c r="C330" s="3149" t="s">
        <v>3489</v>
      </c>
      <c r="D330" s="3149" t="s">
        <v>3490</v>
      </c>
      <c r="E330" s="3149" t="s">
        <v>3776</v>
      </c>
      <c r="F330" s="3149" t="s">
        <v>3538</v>
      </c>
      <c r="G330" s="3149" t="s">
        <v>3512</v>
      </c>
      <c r="H330" s="3149" t="s">
        <v>3509</v>
      </c>
      <c r="I330" s="3149" t="s">
        <v>3777</v>
      </c>
      <c r="J330" s="3149" t="s">
        <v>3389</v>
      </c>
      <c r="K330" s="3149" t="s">
        <v>3496</v>
      </c>
      <c r="L330" s="3150">
        <v>114.36</v>
      </c>
      <c r="M330" s="3150">
        <v>92.93</v>
      </c>
      <c r="N330" s="3161">
        <v>114.36</v>
      </c>
      <c r="O330" s="3150">
        <v>92.93</v>
      </c>
      <c r="P330" s="3151">
        <v>4350</v>
      </c>
      <c r="Q330" s="3151">
        <v>5353.13</v>
      </c>
      <c r="R330" s="3151">
        <v>497466</v>
      </c>
      <c r="S330" s="3151">
        <v>4350</v>
      </c>
      <c r="T330" s="3151">
        <v>5353.1260000000002</v>
      </c>
      <c r="U330" s="3151">
        <v>497466</v>
      </c>
      <c r="V330" s="3153"/>
      <c r="W330" s="3153"/>
      <c r="X330" s="3153"/>
      <c r="Y330" s="3153"/>
      <c r="Z330" s="3152">
        <v>0</v>
      </c>
      <c r="AA330" s="3153"/>
      <c r="AB330" s="3151">
        <v>0</v>
      </c>
      <c r="AC330" s="3154">
        <v>44006</v>
      </c>
      <c r="AD330" s="3154">
        <v>45264.773614039354</v>
      </c>
      <c r="AE330" s="3154">
        <v>44090.403246412032</v>
      </c>
      <c r="AF330" s="3149"/>
      <c r="AG330" s="3149"/>
      <c r="AH330" s="3149"/>
      <c r="AI330" s="3149"/>
      <c r="AJ330" s="3149"/>
      <c r="AK330" s="3154">
        <v>44834</v>
      </c>
      <c r="AL330" s="3154">
        <v>44006</v>
      </c>
      <c r="AM330" s="3149"/>
      <c r="AN330" s="3149"/>
      <c r="AO330" s="3149"/>
      <c r="AP330" s="3149"/>
      <c r="AQ330" s="3149"/>
      <c r="AR330" s="3149"/>
      <c r="AS330" s="3149"/>
      <c r="AT330" s="3149"/>
    </row>
    <row r="331" spans="1:46" ht="33.75">
      <c r="A331" s="3149">
        <v>323</v>
      </c>
      <c r="B331" s="3149" t="s">
        <v>3488</v>
      </c>
      <c r="C331" s="3149" t="s">
        <v>3489</v>
      </c>
      <c r="D331" s="3149" t="s">
        <v>3490</v>
      </c>
      <c r="E331" s="3149" t="s">
        <v>3776</v>
      </c>
      <c r="F331" s="3149" t="s">
        <v>3538</v>
      </c>
      <c r="G331" s="3149" t="s">
        <v>3513</v>
      </c>
      <c r="H331" s="3149" t="s">
        <v>3509</v>
      </c>
      <c r="I331" s="3149" t="s">
        <v>3777</v>
      </c>
      <c r="J331" s="3149" t="s">
        <v>3389</v>
      </c>
      <c r="K331" s="3149" t="s">
        <v>3496</v>
      </c>
      <c r="L331" s="3150">
        <v>114.36</v>
      </c>
      <c r="M331" s="3150">
        <v>92.93</v>
      </c>
      <c r="N331" s="3161">
        <v>114.36</v>
      </c>
      <c r="O331" s="3150">
        <v>92.93</v>
      </c>
      <c r="P331" s="3151">
        <v>4400</v>
      </c>
      <c r="Q331" s="3151">
        <v>5414.66</v>
      </c>
      <c r="R331" s="3151">
        <v>503184</v>
      </c>
      <c r="S331" s="3151">
        <v>4400</v>
      </c>
      <c r="T331" s="3151">
        <v>5414.6562000000004</v>
      </c>
      <c r="U331" s="3151">
        <v>503184</v>
      </c>
      <c r="V331" s="3153"/>
      <c r="W331" s="3153"/>
      <c r="X331" s="3153"/>
      <c r="Y331" s="3153"/>
      <c r="Z331" s="3152">
        <v>0</v>
      </c>
      <c r="AA331" s="3153"/>
      <c r="AB331" s="3151">
        <v>0</v>
      </c>
      <c r="AC331" s="3154">
        <v>44006</v>
      </c>
      <c r="AD331" s="3154">
        <v>45264.773614039354</v>
      </c>
      <c r="AE331" s="3154">
        <v>44090.403246412032</v>
      </c>
      <c r="AF331" s="3149"/>
      <c r="AG331" s="3149"/>
      <c r="AH331" s="3149"/>
      <c r="AI331" s="3149"/>
      <c r="AJ331" s="3149"/>
      <c r="AK331" s="3154">
        <v>44834</v>
      </c>
      <c r="AL331" s="3154">
        <v>44006</v>
      </c>
      <c r="AM331" s="3149"/>
      <c r="AN331" s="3149"/>
      <c r="AO331" s="3149"/>
      <c r="AP331" s="3149"/>
      <c r="AQ331" s="3149"/>
      <c r="AR331" s="3149"/>
      <c r="AS331" s="3149"/>
      <c r="AT331" s="3149"/>
    </row>
    <row r="332" spans="1:46" ht="33.75">
      <c r="A332" s="3149">
        <v>324</v>
      </c>
      <c r="B332" s="3149" t="s">
        <v>3488</v>
      </c>
      <c r="C332" s="3149" t="s">
        <v>3489</v>
      </c>
      <c r="D332" s="3149" t="s">
        <v>3490</v>
      </c>
      <c r="E332" s="3149" t="s">
        <v>3776</v>
      </c>
      <c r="F332" s="3149" t="s">
        <v>3538</v>
      </c>
      <c r="G332" s="3149" t="s">
        <v>3514</v>
      </c>
      <c r="H332" s="3149" t="s">
        <v>3509</v>
      </c>
      <c r="I332" s="3149" t="s">
        <v>3777</v>
      </c>
      <c r="J332" s="3149" t="s">
        <v>3389</v>
      </c>
      <c r="K332" s="3149" t="s">
        <v>3496</v>
      </c>
      <c r="L332" s="3150">
        <v>114.36</v>
      </c>
      <c r="M332" s="3150">
        <v>92.93</v>
      </c>
      <c r="N332" s="3161">
        <v>114.36</v>
      </c>
      <c r="O332" s="3150">
        <v>92.93</v>
      </c>
      <c r="P332" s="3151">
        <v>4400</v>
      </c>
      <c r="Q332" s="3151">
        <v>5414.66</v>
      </c>
      <c r="R332" s="3151">
        <v>503184</v>
      </c>
      <c r="S332" s="3151">
        <v>4400</v>
      </c>
      <c r="T332" s="3151">
        <v>5414.6562000000004</v>
      </c>
      <c r="U332" s="3151">
        <v>503184</v>
      </c>
      <c r="V332" s="3153"/>
      <c r="W332" s="3153"/>
      <c r="X332" s="3153"/>
      <c r="Y332" s="3153"/>
      <c r="Z332" s="3152">
        <v>0</v>
      </c>
      <c r="AA332" s="3153"/>
      <c r="AB332" s="3151">
        <v>0</v>
      </c>
      <c r="AC332" s="3154">
        <v>44006</v>
      </c>
      <c r="AD332" s="3154">
        <v>45264.773614039354</v>
      </c>
      <c r="AE332" s="3154">
        <v>44090.403246412032</v>
      </c>
      <c r="AF332" s="3149"/>
      <c r="AG332" s="3149"/>
      <c r="AH332" s="3149"/>
      <c r="AI332" s="3149"/>
      <c r="AJ332" s="3149"/>
      <c r="AK332" s="3154">
        <v>44834</v>
      </c>
      <c r="AL332" s="3154">
        <v>44006</v>
      </c>
      <c r="AM332" s="3149"/>
      <c r="AN332" s="3149"/>
      <c r="AO332" s="3149"/>
      <c r="AP332" s="3149"/>
      <c r="AQ332" s="3149"/>
      <c r="AR332" s="3149"/>
      <c r="AS332" s="3149"/>
      <c r="AT332" s="3149"/>
    </row>
    <row r="333" spans="1:46" ht="33.75">
      <c r="A333" s="3149">
        <v>325</v>
      </c>
      <c r="B333" s="3149" t="s">
        <v>3488</v>
      </c>
      <c r="C333" s="3149" t="s">
        <v>3489</v>
      </c>
      <c r="D333" s="3149" t="s">
        <v>3490</v>
      </c>
      <c r="E333" s="3149" t="s">
        <v>3776</v>
      </c>
      <c r="F333" s="3149" t="s">
        <v>3538</v>
      </c>
      <c r="G333" s="3149" t="s">
        <v>3515</v>
      </c>
      <c r="H333" s="3149" t="s">
        <v>3509</v>
      </c>
      <c r="I333" s="3149" t="s">
        <v>3777</v>
      </c>
      <c r="J333" s="3149" t="s">
        <v>3389</v>
      </c>
      <c r="K333" s="3149" t="s">
        <v>3496</v>
      </c>
      <c r="L333" s="3150">
        <v>114.36</v>
      </c>
      <c r="M333" s="3150">
        <v>92.93</v>
      </c>
      <c r="N333" s="3161">
        <v>114.36</v>
      </c>
      <c r="O333" s="3150">
        <v>92.93</v>
      </c>
      <c r="P333" s="3151">
        <v>4600</v>
      </c>
      <c r="Q333" s="3151">
        <v>5660.78</v>
      </c>
      <c r="R333" s="3151">
        <v>526056</v>
      </c>
      <c r="S333" s="3151">
        <v>4600</v>
      </c>
      <c r="T333" s="3151">
        <v>5660.7768999999998</v>
      </c>
      <c r="U333" s="3151">
        <v>526056</v>
      </c>
      <c r="V333" s="3153"/>
      <c r="W333" s="3153"/>
      <c r="X333" s="3153"/>
      <c r="Y333" s="3153"/>
      <c r="Z333" s="3152">
        <v>0</v>
      </c>
      <c r="AA333" s="3153"/>
      <c r="AB333" s="3151">
        <v>0</v>
      </c>
      <c r="AC333" s="3154">
        <v>44006</v>
      </c>
      <c r="AD333" s="3154">
        <v>45264.773614039354</v>
      </c>
      <c r="AE333" s="3154">
        <v>44090.403246412032</v>
      </c>
      <c r="AF333" s="3149"/>
      <c r="AG333" s="3149"/>
      <c r="AH333" s="3149"/>
      <c r="AI333" s="3149"/>
      <c r="AJ333" s="3149"/>
      <c r="AK333" s="3149"/>
      <c r="AL333" s="3154">
        <v>44006</v>
      </c>
      <c r="AM333" s="3149"/>
      <c r="AN333" s="3149"/>
      <c r="AO333" s="3149"/>
      <c r="AP333" s="3149"/>
      <c r="AQ333" s="3149"/>
      <c r="AR333" s="3149"/>
      <c r="AS333" s="3149"/>
      <c r="AT333" s="3149"/>
    </row>
    <row r="334" spans="1:46" ht="33.75">
      <c r="A334" s="3149">
        <v>326</v>
      </c>
      <c r="B334" s="3149" t="s">
        <v>3488</v>
      </c>
      <c r="C334" s="3149" t="s">
        <v>3489</v>
      </c>
      <c r="D334" s="3149" t="s">
        <v>3490</v>
      </c>
      <c r="E334" s="3149" t="s">
        <v>3776</v>
      </c>
      <c r="F334" s="3149" t="s">
        <v>3538</v>
      </c>
      <c r="G334" s="3149" t="s">
        <v>3521</v>
      </c>
      <c r="H334" s="3149" t="s">
        <v>3509</v>
      </c>
      <c r="I334" s="3149" t="s">
        <v>3777</v>
      </c>
      <c r="J334" s="3149" t="s">
        <v>3389</v>
      </c>
      <c r="K334" s="3149" t="s">
        <v>3496</v>
      </c>
      <c r="L334" s="3150">
        <v>114.36</v>
      </c>
      <c r="M334" s="3150">
        <v>92.93</v>
      </c>
      <c r="N334" s="3161">
        <v>114.36</v>
      </c>
      <c r="O334" s="3150">
        <v>92.93</v>
      </c>
      <c r="P334" s="3151">
        <v>4600</v>
      </c>
      <c r="Q334" s="3151">
        <v>5660.78</v>
      </c>
      <c r="R334" s="3151">
        <v>526056</v>
      </c>
      <c r="S334" s="3151">
        <v>4600</v>
      </c>
      <c r="T334" s="3151">
        <v>5660.7768999999998</v>
      </c>
      <c r="U334" s="3151">
        <v>526056</v>
      </c>
      <c r="V334" s="3153"/>
      <c r="W334" s="3153"/>
      <c r="X334" s="3153"/>
      <c r="Y334" s="3153"/>
      <c r="Z334" s="3152">
        <v>0</v>
      </c>
      <c r="AA334" s="3153"/>
      <c r="AB334" s="3151">
        <v>0</v>
      </c>
      <c r="AC334" s="3154">
        <v>44006</v>
      </c>
      <c r="AD334" s="3154">
        <v>45264.773614039354</v>
      </c>
      <c r="AE334" s="3154">
        <v>44090.403246412032</v>
      </c>
      <c r="AF334" s="3149"/>
      <c r="AG334" s="3149"/>
      <c r="AH334" s="3149"/>
      <c r="AI334" s="3149"/>
      <c r="AJ334" s="3149"/>
      <c r="AK334" s="3154">
        <v>44834</v>
      </c>
      <c r="AL334" s="3154">
        <v>44006</v>
      </c>
      <c r="AM334" s="3149"/>
      <c r="AN334" s="3149"/>
      <c r="AO334" s="3149"/>
      <c r="AP334" s="3149"/>
      <c r="AQ334" s="3149"/>
      <c r="AR334" s="3149"/>
      <c r="AS334" s="3149"/>
      <c r="AT334" s="3149"/>
    </row>
    <row r="335" spans="1:46" ht="33.75">
      <c r="A335" s="3149">
        <v>327</v>
      </c>
      <c r="B335" s="3149" t="s">
        <v>3488</v>
      </c>
      <c r="C335" s="3149" t="s">
        <v>3489</v>
      </c>
      <c r="D335" s="3149" t="s">
        <v>3490</v>
      </c>
      <c r="E335" s="3149" t="s">
        <v>3776</v>
      </c>
      <c r="F335" s="3149" t="s">
        <v>3538</v>
      </c>
      <c r="G335" s="3149" t="s">
        <v>3522</v>
      </c>
      <c r="H335" s="3149" t="s">
        <v>3509</v>
      </c>
      <c r="I335" s="3149" t="s">
        <v>3777</v>
      </c>
      <c r="J335" s="3149" t="s">
        <v>3389</v>
      </c>
      <c r="K335" s="3149" t="s">
        <v>3496</v>
      </c>
      <c r="L335" s="3150">
        <v>114.36</v>
      </c>
      <c r="M335" s="3150">
        <v>92.93</v>
      </c>
      <c r="N335" s="3161">
        <v>114.36</v>
      </c>
      <c r="O335" s="3150">
        <v>92.93</v>
      </c>
      <c r="P335" s="3151">
        <v>4600</v>
      </c>
      <c r="Q335" s="3151">
        <v>5660.78</v>
      </c>
      <c r="R335" s="3151">
        <v>526056</v>
      </c>
      <c r="S335" s="3151">
        <v>4600</v>
      </c>
      <c r="T335" s="3151">
        <v>5660.7768999999998</v>
      </c>
      <c r="U335" s="3151">
        <v>526056</v>
      </c>
      <c r="V335" s="3153"/>
      <c r="W335" s="3153"/>
      <c r="X335" s="3153"/>
      <c r="Y335" s="3153"/>
      <c r="Z335" s="3152">
        <v>0</v>
      </c>
      <c r="AA335" s="3153"/>
      <c r="AB335" s="3151">
        <v>0</v>
      </c>
      <c r="AC335" s="3154">
        <v>44006</v>
      </c>
      <c r="AD335" s="3154">
        <v>45264.773614039354</v>
      </c>
      <c r="AE335" s="3154">
        <v>44090.403246412032</v>
      </c>
      <c r="AF335" s="3149"/>
      <c r="AG335" s="3149"/>
      <c r="AH335" s="3149"/>
      <c r="AI335" s="3149"/>
      <c r="AJ335" s="3149"/>
      <c r="AK335" s="3154">
        <v>44834</v>
      </c>
      <c r="AL335" s="3154">
        <v>44006</v>
      </c>
      <c r="AM335" s="3149"/>
      <c r="AN335" s="3149"/>
      <c r="AO335" s="3149"/>
      <c r="AP335" s="3149"/>
      <c r="AQ335" s="3149"/>
      <c r="AR335" s="3149"/>
      <c r="AS335" s="3149"/>
      <c r="AT335" s="3149"/>
    </row>
    <row r="336" spans="1:46" ht="33.75">
      <c r="A336" s="3149">
        <v>328</v>
      </c>
      <c r="B336" s="3149" t="s">
        <v>3488</v>
      </c>
      <c r="C336" s="3149" t="s">
        <v>3489</v>
      </c>
      <c r="D336" s="3149" t="s">
        <v>3490</v>
      </c>
      <c r="E336" s="3149" t="s">
        <v>3776</v>
      </c>
      <c r="F336" s="3149" t="s">
        <v>3538</v>
      </c>
      <c r="G336" s="3149" t="s">
        <v>3523</v>
      </c>
      <c r="H336" s="3149" t="s">
        <v>3509</v>
      </c>
      <c r="I336" s="3149" t="s">
        <v>3777</v>
      </c>
      <c r="J336" s="3149" t="s">
        <v>3389</v>
      </c>
      <c r="K336" s="3149" t="s">
        <v>3496</v>
      </c>
      <c r="L336" s="3150">
        <v>114.36</v>
      </c>
      <c r="M336" s="3150">
        <v>92.93</v>
      </c>
      <c r="N336" s="3161">
        <v>114.36</v>
      </c>
      <c r="O336" s="3150">
        <v>92.93</v>
      </c>
      <c r="P336" s="3151">
        <v>4600</v>
      </c>
      <c r="Q336" s="3151">
        <v>5660.78</v>
      </c>
      <c r="R336" s="3151">
        <v>526056</v>
      </c>
      <c r="S336" s="3151">
        <v>4600</v>
      </c>
      <c r="T336" s="3151">
        <v>5660.7768999999998</v>
      </c>
      <c r="U336" s="3151">
        <v>526056</v>
      </c>
      <c r="V336" s="3153"/>
      <c r="W336" s="3153"/>
      <c r="X336" s="3153"/>
      <c r="Y336" s="3153"/>
      <c r="Z336" s="3152">
        <v>0</v>
      </c>
      <c r="AA336" s="3153"/>
      <c r="AB336" s="3151">
        <v>0</v>
      </c>
      <c r="AC336" s="3154">
        <v>44006</v>
      </c>
      <c r="AD336" s="3154">
        <v>45264.773614039354</v>
      </c>
      <c r="AE336" s="3154">
        <v>44090.403246412032</v>
      </c>
      <c r="AF336" s="3149"/>
      <c r="AG336" s="3149"/>
      <c r="AH336" s="3149"/>
      <c r="AI336" s="3149"/>
      <c r="AJ336" s="3149"/>
      <c r="AK336" s="3154">
        <v>44834</v>
      </c>
      <c r="AL336" s="3154">
        <v>44006</v>
      </c>
      <c r="AM336" s="3149"/>
      <c r="AN336" s="3149"/>
      <c r="AO336" s="3149"/>
      <c r="AP336" s="3149"/>
      <c r="AQ336" s="3149"/>
      <c r="AR336" s="3149"/>
      <c r="AS336" s="3149"/>
      <c r="AT336" s="3149"/>
    </row>
    <row r="337" spans="1:46" ht="33.75">
      <c r="A337" s="3149">
        <v>329</v>
      </c>
      <c r="B337" s="3149" t="s">
        <v>3488</v>
      </c>
      <c r="C337" s="3149" t="s">
        <v>3489</v>
      </c>
      <c r="D337" s="3149" t="s">
        <v>3490</v>
      </c>
      <c r="E337" s="3149" t="s">
        <v>3776</v>
      </c>
      <c r="F337" s="3149" t="s">
        <v>3538</v>
      </c>
      <c r="G337" s="3149" t="s">
        <v>3525</v>
      </c>
      <c r="H337" s="3149" t="s">
        <v>3509</v>
      </c>
      <c r="I337" s="3149" t="s">
        <v>3777</v>
      </c>
      <c r="J337" s="3149" t="s">
        <v>3389</v>
      </c>
      <c r="K337" s="3149" t="s">
        <v>3496</v>
      </c>
      <c r="L337" s="3150">
        <v>114.36</v>
      </c>
      <c r="M337" s="3150">
        <v>92.93</v>
      </c>
      <c r="N337" s="3161">
        <v>114.36</v>
      </c>
      <c r="O337" s="3150">
        <v>92.93</v>
      </c>
      <c r="P337" s="3151">
        <v>4550</v>
      </c>
      <c r="Q337" s="3151">
        <v>5599.25</v>
      </c>
      <c r="R337" s="3151">
        <v>520338</v>
      </c>
      <c r="S337" s="3151">
        <v>4550</v>
      </c>
      <c r="T337" s="3151">
        <v>5599.2466999999997</v>
      </c>
      <c r="U337" s="3151">
        <v>520338</v>
      </c>
      <c r="V337" s="3153"/>
      <c r="W337" s="3153"/>
      <c r="X337" s="3153"/>
      <c r="Y337" s="3153"/>
      <c r="Z337" s="3152">
        <v>0</v>
      </c>
      <c r="AA337" s="3153"/>
      <c r="AB337" s="3151">
        <v>0</v>
      </c>
      <c r="AC337" s="3154">
        <v>44006</v>
      </c>
      <c r="AD337" s="3154">
        <v>45264.773614039354</v>
      </c>
      <c r="AE337" s="3154">
        <v>44090.403246412032</v>
      </c>
      <c r="AF337" s="3149"/>
      <c r="AG337" s="3149"/>
      <c r="AH337" s="3149"/>
      <c r="AI337" s="3149"/>
      <c r="AJ337" s="3149"/>
      <c r="AK337" s="3149"/>
      <c r="AL337" s="3154">
        <v>44006</v>
      </c>
      <c r="AM337" s="3149"/>
      <c r="AN337" s="3149"/>
      <c r="AO337" s="3149"/>
      <c r="AP337" s="3149"/>
      <c r="AQ337" s="3149"/>
      <c r="AR337" s="3149"/>
      <c r="AS337" s="3149"/>
      <c r="AT337" s="3149"/>
    </row>
    <row r="338" spans="1:46" ht="33.75">
      <c r="A338" s="3149">
        <v>330</v>
      </c>
      <c r="B338" s="3149" t="s">
        <v>3488</v>
      </c>
      <c r="C338" s="3149" t="s">
        <v>3489</v>
      </c>
      <c r="D338" s="3149" t="s">
        <v>3490</v>
      </c>
      <c r="E338" s="3149" t="s">
        <v>3776</v>
      </c>
      <c r="F338" s="3149" t="s">
        <v>3538</v>
      </c>
      <c r="G338" s="3149" t="s">
        <v>3528</v>
      </c>
      <c r="H338" s="3149" t="s">
        <v>3494</v>
      </c>
      <c r="I338" s="3149" t="s">
        <v>3777</v>
      </c>
      <c r="J338" s="3149" t="s">
        <v>3389</v>
      </c>
      <c r="K338" s="3149" t="s">
        <v>3496</v>
      </c>
      <c r="L338" s="3150">
        <v>114.36</v>
      </c>
      <c r="M338" s="3150">
        <v>92.93</v>
      </c>
      <c r="N338" s="3161">
        <v>114.36</v>
      </c>
      <c r="O338" s="3150">
        <v>92.93</v>
      </c>
      <c r="P338" s="3151">
        <v>8882.5</v>
      </c>
      <c r="Q338" s="3151">
        <v>10930.84</v>
      </c>
      <c r="R338" s="3151">
        <v>1015803</v>
      </c>
      <c r="S338" s="3151">
        <v>10355.7538</v>
      </c>
      <c r="T338" s="3151">
        <v>12743.8287</v>
      </c>
      <c r="U338" s="3151">
        <v>1184284</v>
      </c>
      <c r="V338" s="3151">
        <v>8882.5</v>
      </c>
      <c r="W338" s="3151">
        <v>10930.84</v>
      </c>
      <c r="X338" s="3151">
        <v>1015803</v>
      </c>
      <c r="Y338" s="3152">
        <v>1015803</v>
      </c>
      <c r="Z338" s="3152">
        <v>0</v>
      </c>
      <c r="AA338" s="3153"/>
      <c r="AB338" s="3151">
        <v>1015803</v>
      </c>
      <c r="AC338" s="3154">
        <v>44006</v>
      </c>
      <c r="AD338" s="3154">
        <v>44372.487411145834</v>
      </c>
      <c r="AE338" s="3154">
        <v>44090.403246412032</v>
      </c>
      <c r="AF338" s="3154">
        <v>44651</v>
      </c>
      <c r="AG338" s="3154">
        <v>44651</v>
      </c>
      <c r="AH338" s="3149"/>
      <c r="AI338" s="3149"/>
      <c r="AJ338" s="3154">
        <v>45199</v>
      </c>
      <c r="AK338" s="3154">
        <v>44834</v>
      </c>
      <c r="AL338" s="3154">
        <v>44006</v>
      </c>
      <c r="AM338" s="3149" t="s">
        <v>3516</v>
      </c>
      <c r="AN338" s="3149" t="s">
        <v>3782</v>
      </c>
      <c r="AO338" s="3149" t="s">
        <v>3540</v>
      </c>
      <c r="AP338" s="3149" t="s">
        <v>3499</v>
      </c>
      <c r="AQ338" s="3149" t="s">
        <v>3499</v>
      </c>
      <c r="AR338" s="3149" t="s">
        <v>3519</v>
      </c>
      <c r="AS338" s="3149" t="s">
        <v>3520</v>
      </c>
      <c r="AT338" s="3149"/>
    </row>
    <row r="339" spans="1:46" ht="33.75">
      <c r="A339" s="3149">
        <v>331</v>
      </c>
      <c r="B339" s="3149" t="s">
        <v>3488</v>
      </c>
      <c r="C339" s="3149" t="s">
        <v>3489</v>
      </c>
      <c r="D339" s="3149" t="s">
        <v>3490</v>
      </c>
      <c r="E339" s="3149" t="s">
        <v>3776</v>
      </c>
      <c r="F339" s="3149" t="s">
        <v>3538</v>
      </c>
      <c r="G339" s="3149" t="s">
        <v>3529</v>
      </c>
      <c r="H339" s="3149" t="s">
        <v>3509</v>
      </c>
      <c r="I339" s="3149" t="s">
        <v>3777</v>
      </c>
      <c r="J339" s="3149" t="s">
        <v>3389</v>
      </c>
      <c r="K339" s="3149" t="s">
        <v>3496</v>
      </c>
      <c r="L339" s="3150">
        <v>114.36</v>
      </c>
      <c r="M339" s="3150">
        <v>92.93</v>
      </c>
      <c r="N339" s="3161">
        <v>114.36</v>
      </c>
      <c r="O339" s="3150">
        <v>92.93</v>
      </c>
      <c r="P339" s="3151">
        <v>4800</v>
      </c>
      <c r="Q339" s="3151">
        <v>5906.9</v>
      </c>
      <c r="R339" s="3151">
        <v>548928</v>
      </c>
      <c r="S339" s="3151">
        <v>4800</v>
      </c>
      <c r="T339" s="3151">
        <v>5906.8977000000004</v>
      </c>
      <c r="U339" s="3151">
        <v>548928</v>
      </c>
      <c r="V339" s="3153"/>
      <c r="W339" s="3153"/>
      <c r="X339" s="3153"/>
      <c r="Y339" s="3153"/>
      <c r="Z339" s="3152">
        <v>0</v>
      </c>
      <c r="AA339" s="3153"/>
      <c r="AB339" s="3151">
        <v>0</v>
      </c>
      <c r="AC339" s="3154">
        <v>44006</v>
      </c>
      <c r="AD339" s="3154">
        <v>45264.773614039354</v>
      </c>
      <c r="AE339" s="3154">
        <v>44090.403246412032</v>
      </c>
      <c r="AF339" s="3149"/>
      <c r="AG339" s="3149"/>
      <c r="AH339" s="3149"/>
      <c r="AI339" s="3149"/>
      <c r="AJ339" s="3149"/>
      <c r="AK339" s="3154">
        <v>44834</v>
      </c>
      <c r="AL339" s="3154">
        <v>44006</v>
      </c>
      <c r="AM339" s="3149"/>
      <c r="AN339" s="3149"/>
      <c r="AO339" s="3149"/>
      <c r="AP339" s="3149"/>
      <c r="AQ339" s="3149"/>
      <c r="AR339" s="3149"/>
      <c r="AS339" s="3149"/>
      <c r="AT339" s="3149"/>
    </row>
    <row r="340" spans="1:46" ht="33.75">
      <c r="A340" s="3149">
        <v>332</v>
      </c>
      <c r="B340" s="3149" t="s">
        <v>3488</v>
      </c>
      <c r="C340" s="3149" t="s">
        <v>3489</v>
      </c>
      <c r="D340" s="3149" t="s">
        <v>3490</v>
      </c>
      <c r="E340" s="3149" t="s">
        <v>3776</v>
      </c>
      <c r="F340" s="3149" t="s">
        <v>3538</v>
      </c>
      <c r="G340" s="3149" t="s">
        <v>3530</v>
      </c>
      <c r="H340" s="3149" t="s">
        <v>3509</v>
      </c>
      <c r="I340" s="3149" t="s">
        <v>3777</v>
      </c>
      <c r="J340" s="3149" t="s">
        <v>3389</v>
      </c>
      <c r="K340" s="3149" t="s">
        <v>3496</v>
      </c>
      <c r="L340" s="3150">
        <v>114.36</v>
      </c>
      <c r="M340" s="3150">
        <v>92.93</v>
      </c>
      <c r="N340" s="3161">
        <v>114.36</v>
      </c>
      <c r="O340" s="3150">
        <v>92.93</v>
      </c>
      <c r="P340" s="3151">
        <v>4800</v>
      </c>
      <c r="Q340" s="3151">
        <v>5906.9</v>
      </c>
      <c r="R340" s="3151">
        <v>548928</v>
      </c>
      <c r="S340" s="3151">
        <v>4800</v>
      </c>
      <c r="T340" s="3151">
        <v>5906.8977000000004</v>
      </c>
      <c r="U340" s="3151">
        <v>548928</v>
      </c>
      <c r="V340" s="3153"/>
      <c r="W340" s="3153"/>
      <c r="X340" s="3153"/>
      <c r="Y340" s="3153"/>
      <c r="Z340" s="3152">
        <v>0</v>
      </c>
      <c r="AA340" s="3153"/>
      <c r="AB340" s="3151">
        <v>0</v>
      </c>
      <c r="AC340" s="3154">
        <v>44006</v>
      </c>
      <c r="AD340" s="3154">
        <v>45264.773614039354</v>
      </c>
      <c r="AE340" s="3154">
        <v>44090.403246412032</v>
      </c>
      <c r="AF340" s="3149"/>
      <c r="AG340" s="3149"/>
      <c r="AH340" s="3149"/>
      <c r="AI340" s="3149"/>
      <c r="AJ340" s="3149"/>
      <c r="AK340" s="3154">
        <v>44834</v>
      </c>
      <c r="AL340" s="3154">
        <v>44006</v>
      </c>
      <c r="AM340" s="3149"/>
      <c r="AN340" s="3149"/>
      <c r="AO340" s="3149"/>
      <c r="AP340" s="3149"/>
      <c r="AQ340" s="3149"/>
      <c r="AR340" s="3149"/>
      <c r="AS340" s="3149"/>
      <c r="AT340" s="3149"/>
    </row>
    <row r="341" spans="1:46" ht="33.75">
      <c r="A341" s="3149">
        <v>333</v>
      </c>
      <c r="B341" s="3149" t="s">
        <v>3488</v>
      </c>
      <c r="C341" s="3149" t="s">
        <v>3489</v>
      </c>
      <c r="D341" s="3149" t="s">
        <v>3490</v>
      </c>
      <c r="E341" s="3149" t="s">
        <v>3776</v>
      </c>
      <c r="F341" s="3149" t="s">
        <v>3538</v>
      </c>
      <c r="G341" s="3149" t="s">
        <v>3532</v>
      </c>
      <c r="H341" s="3149" t="s">
        <v>3509</v>
      </c>
      <c r="I341" s="3149" t="s">
        <v>3777</v>
      </c>
      <c r="J341" s="3149" t="s">
        <v>3389</v>
      </c>
      <c r="K341" s="3149" t="s">
        <v>3496</v>
      </c>
      <c r="L341" s="3150">
        <v>151.86000000000001</v>
      </c>
      <c r="M341" s="3150">
        <v>123.4</v>
      </c>
      <c r="N341" s="3161">
        <v>151.86000000000001</v>
      </c>
      <c r="O341" s="3150">
        <v>123.4</v>
      </c>
      <c r="P341" s="3151">
        <v>4800</v>
      </c>
      <c r="Q341" s="3151">
        <v>5907.03</v>
      </c>
      <c r="R341" s="3151">
        <v>728928</v>
      </c>
      <c r="S341" s="3151">
        <v>4800</v>
      </c>
      <c r="T341" s="3151">
        <v>5907.0339999999997</v>
      </c>
      <c r="U341" s="3151">
        <v>728928</v>
      </c>
      <c r="V341" s="3153"/>
      <c r="W341" s="3153"/>
      <c r="X341" s="3153"/>
      <c r="Y341" s="3153"/>
      <c r="Z341" s="3152">
        <v>0</v>
      </c>
      <c r="AA341" s="3153"/>
      <c r="AB341" s="3151">
        <v>0</v>
      </c>
      <c r="AC341" s="3154">
        <v>44006</v>
      </c>
      <c r="AD341" s="3154">
        <v>45264.773614039354</v>
      </c>
      <c r="AE341" s="3154">
        <v>44090.403246412032</v>
      </c>
      <c r="AF341" s="3149"/>
      <c r="AG341" s="3149"/>
      <c r="AH341" s="3149"/>
      <c r="AI341" s="3149"/>
      <c r="AJ341" s="3149"/>
      <c r="AK341" s="3154">
        <v>44834</v>
      </c>
      <c r="AL341" s="3154">
        <v>44006</v>
      </c>
      <c r="AM341" s="3149"/>
      <c r="AN341" s="3149"/>
      <c r="AO341" s="3149"/>
      <c r="AP341" s="3149"/>
      <c r="AQ341" s="3149"/>
      <c r="AR341" s="3149"/>
      <c r="AS341" s="3149"/>
      <c r="AT341" s="3149"/>
    </row>
    <row r="342" spans="1:46" ht="33.75">
      <c r="A342" s="3149">
        <v>334</v>
      </c>
      <c r="B342" s="3149" t="s">
        <v>3488</v>
      </c>
      <c r="C342" s="3149" t="s">
        <v>3489</v>
      </c>
      <c r="D342" s="3149" t="s">
        <v>3490</v>
      </c>
      <c r="E342" s="3149" t="s">
        <v>3776</v>
      </c>
      <c r="F342" s="3149" t="s">
        <v>3538</v>
      </c>
      <c r="G342" s="3149" t="s">
        <v>3534</v>
      </c>
      <c r="H342" s="3149" t="s">
        <v>3509</v>
      </c>
      <c r="I342" s="3149" t="s">
        <v>3777</v>
      </c>
      <c r="J342" s="3149" t="s">
        <v>3389</v>
      </c>
      <c r="K342" s="3149" t="s">
        <v>3496</v>
      </c>
      <c r="L342" s="3150">
        <v>151.86000000000001</v>
      </c>
      <c r="M342" s="3150">
        <v>123.4</v>
      </c>
      <c r="N342" s="3161">
        <v>151.86000000000001</v>
      </c>
      <c r="O342" s="3150">
        <v>123.4</v>
      </c>
      <c r="P342" s="3151">
        <v>4800</v>
      </c>
      <c r="Q342" s="3151">
        <v>5907.03</v>
      </c>
      <c r="R342" s="3151">
        <v>728928</v>
      </c>
      <c r="S342" s="3151">
        <v>4800</v>
      </c>
      <c r="T342" s="3151">
        <v>5907.0339999999997</v>
      </c>
      <c r="U342" s="3151">
        <v>728928</v>
      </c>
      <c r="V342" s="3153"/>
      <c r="W342" s="3153"/>
      <c r="X342" s="3153"/>
      <c r="Y342" s="3153"/>
      <c r="Z342" s="3152">
        <v>0</v>
      </c>
      <c r="AA342" s="3153"/>
      <c r="AB342" s="3151">
        <v>0</v>
      </c>
      <c r="AC342" s="3154">
        <v>44006</v>
      </c>
      <c r="AD342" s="3154">
        <v>45264.773614039354</v>
      </c>
      <c r="AE342" s="3154">
        <v>44090.403246412032</v>
      </c>
      <c r="AF342" s="3149"/>
      <c r="AG342" s="3149"/>
      <c r="AH342" s="3149"/>
      <c r="AI342" s="3149"/>
      <c r="AJ342" s="3149"/>
      <c r="AK342" s="3154">
        <v>44834</v>
      </c>
      <c r="AL342" s="3154">
        <v>44006</v>
      </c>
      <c r="AM342" s="3149"/>
      <c r="AN342" s="3149"/>
      <c r="AO342" s="3149"/>
      <c r="AP342" s="3149"/>
      <c r="AQ342" s="3149"/>
      <c r="AR342" s="3149"/>
      <c r="AS342" s="3149"/>
      <c r="AT342" s="3149"/>
    </row>
    <row r="343" spans="1:46" ht="33.75">
      <c r="A343" s="3149">
        <v>335</v>
      </c>
      <c r="B343" s="3149" t="s">
        <v>3488</v>
      </c>
      <c r="C343" s="3149" t="s">
        <v>3489</v>
      </c>
      <c r="D343" s="3149" t="s">
        <v>3490</v>
      </c>
      <c r="E343" s="3149" t="s">
        <v>3776</v>
      </c>
      <c r="F343" s="3149" t="s">
        <v>3546</v>
      </c>
      <c r="G343" s="3149" t="s">
        <v>3493</v>
      </c>
      <c r="H343" s="3149" t="s">
        <v>3494</v>
      </c>
      <c r="I343" s="3149" t="s">
        <v>3777</v>
      </c>
      <c r="J343" s="3149" t="s">
        <v>3389</v>
      </c>
      <c r="K343" s="3149" t="s">
        <v>3496</v>
      </c>
      <c r="L343" s="3150">
        <v>114.36</v>
      </c>
      <c r="M343" s="3150">
        <v>92.93</v>
      </c>
      <c r="N343" s="3161">
        <v>114.36</v>
      </c>
      <c r="O343" s="3150">
        <v>92.93</v>
      </c>
      <c r="P343" s="3151">
        <v>12159.99</v>
      </c>
      <c r="Q343" s="3151">
        <v>14964.13</v>
      </c>
      <c r="R343" s="3151">
        <v>1390617</v>
      </c>
      <c r="S343" s="3151">
        <v>14659.4439</v>
      </c>
      <c r="T343" s="3151">
        <v>18039.9656</v>
      </c>
      <c r="U343" s="3151">
        <v>1676454</v>
      </c>
      <c r="V343" s="3151">
        <v>12835.56</v>
      </c>
      <c r="W343" s="3151">
        <v>15795.49</v>
      </c>
      <c r="X343" s="3151">
        <v>1467875</v>
      </c>
      <c r="Y343" s="3152">
        <v>1467875</v>
      </c>
      <c r="Z343" s="3152">
        <v>0</v>
      </c>
      <c r="AA343" s="3153"/>
      <c r="AB343" s="3151">
        <v>1467875</v>
      </c>
      <c r="AC343" s="3154">
        <v>44006</v>
      </c>
      <c r="AD343" s="3154">
        <v>44089.755273182869</v>
      </c>
      <c r="AE343" s="3154">
        <v>44090.403246412032</v>
      </c>
      <c r="AF343" s="3154">
        <v>44112</v>
      </c>
      <c r="AG343" s="3154">
        <v>44118</v>
      </c>
      <c r="AH343" s="3154">
        <v>44144</v>
      </c>
      <c r="AI343" s="3154">
        <v>44148</v>
      </c>
      <c r="AJ343" s="3154">
        <v>44834</v>
      </c>
      <c r="AK343" s="3154">
        <v>44834</v>
      </c>
      <c r="AL343" s="3154">
        <v>44006</v>
      </c>
      <c r="AM343" s="3149" t="s">
        <v>3416</v>
      </c>
      <c r="AN343" s="3149" t="s">
        <v>3783</v>
      </c>
      <c r="AO343" s="3149" t="s">
        <v>3498</v>
      </c>
      <c r="AP343" s="3149" t="s">
        <v>3499</v>
      </c>
      <c r="AQ343" s="3149" t="s">
        <v>3499</v>
      </c>
      <c r="AR343" s="3149" t="s">
        <v>3500</v>
      </c>
      <c r="AS343" s="3149" t="s">
        <v>3501</v>
      </c>
      <c r="AT343" s="3149"/>
    </row>
    <row r="344" spans="1:46" ht="33.75">
      <c r="A344" s="3149">
        <v>336</v>
      </c>
      <c r="B344" s="3149" t="s">
        <v>3488</v>
      </c>
      <c r="C344" s="3149" t="s">
        <v>3489</v>
      </c>
      <c r="D344" s="3149" t="s">
        <v>3490</v>
      </c>
      <c r="E344" s="3149" t="s">
        <v>3776</v>
      </c>
      <c r="F344" s="3149" t="s">
        <v>3546</v>
      </c>
      <c r="G344" s="3149" t="s">
        <v>3502</v>
      </c>
      <c r="H344" s="3149" t="s">
        <v>3494</v>
      </c>
      <c r="I344" s="3149" t="s">
        <v>3777</v>
      </c>
      <c r="J344" s="3149" t="s">
        <v>3389</v>
      </c>
      <c r="K344" s="3149" t="s">
        <v>3496</v>
      </c>
      <c r="L344" s="3150">
        <v>114.36</v>
      </c>
      <c r="M344" s="3150">
        <v>92.93</v>
      </c>
      <c r="N344" s="3161">
        <v>114.36</v>
      </c>
      <c r="O344" s="3150">
        <v>92.93</v>
      </c>
      <c r="P344" s="3151">
        <v>13775</v>
      </c>
      <c r="Q344" s="3151">
        <v>16951.57</v>
      </c>
      <c r="R344" s="3151">
        <v>1575309</v>
      </c>
      <c r="S344" s="3151">
        <v>16548.3298</v>
      </c>
      <c r="T344" s="3151">
        <v>20364.435600000001</v>
      </c>
      <c r="U344" s="3151">
        <v>1892467</v>
      </c>
      <c r="V344" s="3151">
        <v>14500</v>
      </c>
      <c r="W344" s="3151">
        <v>17843.75</v>
      </c>
      <c r="X344" s="3151">
        <v>1658220</v>
      </c>
      <c r="Y344" s="3152">
        <v>1658220</v>
      </c>
      <c r="Z344" s="3152">
        <v>0</v>
      </c>
      <c r="AA344" s="3153"/>
      <c r="AB344" s="3151">
        <v>1658220</v>
      </c>
      <c r="AC344" s="3154">
        <v>44006</v>
      </c>
      <c r="AD344" s="3154">
        <v>44347.624213113428</v>
      </c>
      <c r="AE344" s="3154">
        <v>44090.403246412032</v>
      </c>
      <c r="AF344" s="3154">
        <v>44347</v>
      </c>
      <c r="AG344" s="3154">
        <v>44347</v>
      </c>
      <c r="AH344" s="3154">
        <v>44825</v>
      </c>
      <c r="AI344" s="3154">
        <v>44834</v>
      </c>
      <c r="AJ344" s="3154">
        <v>44834</v>
      </c>
      <c r="AK344" s="3149"/>
      <c r="AL344" s="3154">
        <v>44006</v>
      </c>
      <c r="AM344" s="3149" t="s">
        <v>3416</v>
      </c>
      <c r="AN344" s="3149" t="s">
        <v>3784</v>
      </c>
      <c r="AO344" s="3149" t="s">
        <v>3552</v>
      </c>
      <c r="AP344" s="3149"/>
      <c r="AQ344" s="3149"/>
      <c r="AR344" s="3149" t="s">
        <v>3505</v>
      </c>
      <c r="AS344" s="3149" t="s">
        <v>3506</v>
      </c>
      <c r="AT344" s="3149" t="s">
        <v>3507</v>
      </c>
    </row>
    <row r="345" spans="1:46" ht="33.75">
      <c r="A345" s="3149">
        <v>337</v>
      </c>
      <c r="B345" s="3149" t="s">
        <v>3488</v>
      </c>
      <c r="C345" s="3149" t="s">
        <v>3489</v>
      </c>
      <c r="D345" s="3149" t="s">
        <v>3490</v>
      </c>
      <c r="E345" s="3149" t="s">
        <v>3776</v>
      </c>
      <c r="F345" s="3149" t="s">
        <v>3546</v>
      </c>
      <c r="G345" s="3149" t="s">
        <v>3508</v>
      </c>
      <c r="H345" s="3149" t="s">
        <v>3509</v>
      </c>
      <c r="I345" s="3149" t="s">
        <v>3777</v>
      </c>
      <c r="J345" s="3149" t="s">
        <v>3389</v>
      </c>
      <c r="K345" s="3149" t="s">
        <v>3496</v>
      </c>
      <c r="L345" s="3150">
        <v>114.36</v>
      </c>
      <c r="M345" s="3150">
        <v>92.93</v>
      </c>
      <c r="N345" s="3161">
        <v>114.36</v>
      </c>
      <c r="O345" s="3150">
        <v>92.93</v>
      </c>
      <c r="P345" s="3151">
        <v>4300</v>
      </c>
      <c r="Q345" s="3151">
        <v>5291.6</v>
      </c>
      <c r="R345" s="3151">
        <v>491748</v>
      </c>
      <c r="S345" s="3151">
        <v>4300</v>
      </c>
      <c r="T345" s="3151">
        <v>5291.5958000000001</v>
      </c>
      <c r="U345" s="3151">
        <v>491748</v>
      </c>
      <c r="V345" s="3153"/>
      <c r="W345" s="3153"/>
      <c r="X345" s="3153"/>
      <c r="Y345" s="3153"/>
      <c r="Z345" s="3152">
        <v>0</v>
      </c>
      <c r="AA345" s="3153"/>
      <c r="AB345" s="3151">
        <v>0</v>
      </c>
      <c r="AC345" s="3154">
        <v>44006</v>
      </c>
      <c r="AD345" s="3154">
        <v>45264.773614039354</v>
      </c>
      <c r="AE345" s="3154">
        <v>44090.403246412032</v>
      </c>
      <c r="AF345" s="3149"/>
      <c r="AG345" s="3149"/>
      <c r="AH345" s="3149"/>
      <c r="AI345" s="3149"/>
      <c r="AJ345" s="3149"/>
      <c r="AK345" s="3149"/>
      <c r="AL345" s="3154">
        <v>44006</v>
      </c>
      <c r="AM345" s="3149"/>
      <c r="AN345" s="3149"/>
      <c r="AO345" s="3149"/>
      <c r="AP345" s="3149"/>
      <c r="AQ345" s="3149"/>
      <c r="AR345" s="3149"/>
      <c r="AS345" s="3149"/>
      <c r="AT345" s="3149"/>
    </row>
    <row r="346" spans="1:46" ht="33.75">
      <c r="A346" s="3149">
        <v>338</v>
      </c>
      <c r="B346" s="3149" t="s">
        <v>3488</v>
      </c>
      <c r="C346" s="3149" t="s">
        <v>3489</v>
      </c>
      <c r="D346" s="3149" t="s">
        <v>3490</v>
      </c>
      <c r="E346" s="3149" t="s">
        <v>3776</v>
      </c>
      <c r="F346" s="3149" t="s">
        <v>3546</v>
      </c>
      <c r="G346" s="3149" t="s">
        <v>3510</v>
      </c>
      <c r="H346" s="3149" t="s">
        <v>3509</v>
      </c>
      <c r="I346" s="3149" t="s">
        <v>3777</v>
      </c>
      <c r="J346" s="3149" t="s">
        <v>3389</v>
      </c>
      <c r="K346" s="3149" t="s">
        <v>3496</v>
      </c>
      <c r="L346" s="3150">
        <v>114.36</v>
      </c>
      <c r="M346" s="3150">
        <v>92.93</v>
      </c>
      <c r="N346" s="3161">
        <v>114.36</v>
      </c>
      <c r="O346" s="3150">
        <v>92.93</v>
      </c>
      <c r="P346" s="3151">
        <v>4300</v>
      </c>
      <c r="Q346" s="3151">
        <v>5291.6</v>
      </c>
      <c r="R346" s="3151">
        <v>491748</v>
      </c>
      <c r="S346" s="3151">
        <v>4300</v>
      </c>
      <c r="T346" s="3151">
        <v>5291.5958000000001</v>
      </c>
      <c r="U346" s="3151">
        <v>491748</v>
      </c>
      <c r="V346" s="3153"/>
      <c r="W346" s="3153"/>
      <c r="X346" s="3153"/>
      <c r="Y346" s="3153"/>
      <c r="Z346" s="3152">
        <v>0</v>
      </c>
      <c r="AA346" s="3153"/>
      <c r="AB346" s="3151">
        <v>0</v>
      </c>
      <c r="AC346" s="3154">
        <v>44006</v>
      </c>
      <c r="AD346" s="3154">
        <v>45264.773614039354</v>
      </c>
      <c r="AE346" s="3154">
        <v>44090.403246412032</v>
      </c>
      <c r="AF346" s="3149"/>
      <c r="AG346" s="3149"/>
      <c r="AH346" s="3149"/>
      <c r="AI346" s="3149"/>
      <c r="AJ346" s="3149"/>
      <c r="AK346" s="3154">
        <v>44834</v>
      </c>
      <c r="AL346" s="3154">
        <v>44006</v>
      </c>
      <c r="AM346" s="3149"/>
      <c r="AN346" s="3149"/>
      <c r="AO346" s="3149"/>
      <c r="AP346" s="3149"/>
      <c r="AQ346" s="3149"/>
      <c r="AR346" s="3149"/>
      <c r="AS346" s="3149"/>
      <c r="AT346" s="3149"/>
    </row>
    <row r="347" spans="1:46" ht="33.75">
      <c r="A347" s="3149">
        <v>339</v>
      </c>
      <c r="B347" s="3149" t="s">
        <v>3488</v>
      </c>
      <c r="C347" s="3149" t="s">
        <v>3489</v>
      </c>
      <c r="D347" s="3149" t="s">
        <v>3490</v>
      </c>
      <c r="E347" s="3149" t="s">
        <v>3776</v>
      </c>
      <c r="F347" s="3149" t="s">
        <v>3546</v>
      </c>
      <c r="G347" s="3149" t="s">
        <v>3511</v>
      </c>
      <c r="H347" s="3149" t="s">
        <v>3509</v>
      </c>
      <c r="I347" s="3149" t="s">
        <v>3777</v>
      </c>
      <c r="J347" s="3149" t="s">
        <v>3389</v>
      </c>
      <c r="K347" s="3149" t="s">
        <v>3496</v>
      </c>
      <c r="L347" s="3150">
        <v>114.36</v>
      </c>
      <c r="M347" s="3150">
        <v>92.93</v>
      </c>
      <c r="N347" s="3161">
        <v>114.36</v>
      </c>
      <c r="O347" s="3150">
        <v>92.93</v>
      </c>
      <c r="P347" s="3151">
        <v>4350</v>
      </c>
      <c r="Q347" s="3151">
        <v>5353.13</v>
      </c>
      <c r="R347" s="3151">
        <v>497466</v>
      </c>
      <c r="S347" s="3151">
        <v>4350</v>
      </c>
      <c r="T347" s="3151">
        <v>5353.1260000000002</v>
      </c>
      <c r="U347" s="3151">
        <v>497466</v>
      </c>
      <c r="V347" s="3153"/>
      <c r="W347" s="3153"/>
      <c r="X347" s="3153"/>
      <c r="Y347" s="3153"/>
      <c r="Z347" s="3152">
        <v>0</v>
      </c>
      <c r="AA347" s="3153"/>
      <c r="AB347" s="3151">
        <v>0</v>
      </c>
      <c r="AC347" s="3154">
        <v>44006</v>
      </c>
      <c r="AD347" s="3154">
        <v>45264.773614039354</v>
      </c>
      <c r="AE347" s="3154">
        <v>44090.403246412032</v>
      </c>
      <c r="AF347" s="3149"/>
      <c r="AG347" s="3149"/>
      <c r="AH347" s="3149"/>
      <c r="AI347" s="3149"/>
      <c r="AJ347" s="3149"/>
      <c r="AK347" s="3154">
        <v>44834</v>
      </c>
      <c r="AL347" s="3154">
        <v>44006</v>
      </c>
      <c r="AM347" s="3149"/>
      <c r="AN347" s="3149"/>
      <c r="AO347" s="3149"/>
      <c r="AP347" s="3149"/>
      <c r="AQ347" s="3149"/>
      <c r="AR347" s="3149"/>
      <c r="AS347" s="3149"/>
      <c r="AT347" s="3149"/>
    </row>
    <row r="348" spans="1:46" ht="33.75">
      <c r="A348" s="3149">
        <v>340</v>
      </c>
      <c r="B348" s="3149" t="s">
        <v>3488</v>
      </c>
      <c r="C348" s="3149" t="s">
        <v>3489</v>
      </c>
      <c r="D348" s="3149" t="s">
        <v>3490</v>
      </c>
      <c r="E348" s="3149" t="s">
        <v>3776</v>
      </c>
      <c r="F348" s="3149" t="s">
        <v>3546</v>
      </c>
      <c r="G348" s="3149" t="s">
        <v>3512</v>
      </c>
      <c r="H348" s="3149" t="s">
        <v>3509</v>
      </c>
      <c r="I348" s="3149" t="s">
        <v>3777</v>
      </c>
      <c r="J348" s="3149" t="s">
        <v>3389</v>
      </c>
      <c r="K348" s="3149" t="s">
        <v>3496</v>
      </c>
      <c r="L348" s="3150">
        <v>114.36</v>
      </c>
      <c r="M348" s="3150">
        <v>92.93</v>
      </c>
      <c r="N348" s="3161">
        <v>114.36</v>
      </c>
      <c r="O348" s="3150">
        <v>92.93</v>
      </c>
      <c r="P348" s="3151">
        <v>4350</v>
      </c>
      <c r="Q348" s="3151">
        <v>5353.13</v>
      </c>
      <c r="R348" s="3151">
        <v>497466</v>
      </c>
      <c r="S348" s="3151">
        <v>4350</v>
      </c>
      <c r="T348" s="3151">
        <v>5353.1260000000002</v>
      </c>
      <c r="U348" s="3151">
        <v>497466</v>
      </c>
      <c r="V348" s="3153"/>
      <c r="W348" s="3153"/>
      <c r="X348" s="3153"/>
      <c r="Y348" s="3153"/>
      <c r="Z348" s="3152">
        <v>0</v>
      </c>
      <c r="AA348" s="3153"/>
      <c r="AB348" s="3151">
        <v>0</v>
      </c>
      <c r="AC348" s="3154">
        <v>44006</v>
      </c>
      <c r="AD348" s="3154">
        <v>45264.773614039354</v>
      </c>
      <c r="AE348" s="3154">
        <v>44090.403246412032</v>
      </c>
      <c r="AF348" s="3149"/>
      <c r="AG348" s="3149"/>
      <c r="AH348" s="3149"/>
      <c r="AI348" s="3149"/>
      <c r="AJ348" s="3149"/>
      <c r="AK348" s="3154">
        <v>44834</v>
      </c>
      <c r="AL348" s="3154">
        <v>44006</v>
      </c>
      <c r="AM348" s="3149"/>
      <c r="AN348" s="3149"/>
      <c r="AO348" s="3149"/>
      <c r="AP348" s="3149"/>
      <c r="AQ348" s="3149"/>
      <c r="AR348" s="3149"/>
      <c r="AS348" s="3149"/>
      <c r="AT348" s="3149"/>
    </row>
    <row r="349" spans="1:46" ht="33.75">
      <c r="A349" s="3149">
        <v>341</v>
      </c>
      <c r="B349" s="3149" t="s">
        <v>3488</v>
      </c>
      <c r="C349" s="3149" t="s">
        <v>3489</v>
      </c>
      <c r="D349" s="3149" t="s">
        <v>3490</v>
      </c>
      <c r="E349" s="3149" t="s">
        <v>3776</v>
      </c>
      <c r="F349" s="3149" t="s">
        <v>3546</v>
      </c>
      <c r="G349" s="3149" t="s">
        <v>3513</v>
      </c>
      <c r="H349" s="3149" t="s">
        <v>3509</v>
      </c>
      <c r="I349" s="3149" t="s">
        <v>3777</v>
      </c>
      <c r="J349" s="3149" t="s">
        <v>3389</v>
      </c>
      <c r="K349" s="3149" t="s">
        <v>3496</v>
      </c>
      <c r="L349" s="3150">
        <v>114.36</v>
      </c>
      <c r="M349" s="3150">
        <v>92.93</v>
      </c>
      <c r="N349" s="3161">
        <v>114.36</v>
      </c>
      <c r="O349" s="3150">
        <v>92.93</v>
      </c>
      <c r="P349" s="3151">
        <v>4400</v>
      </c>
      <c r="Q349" s="3151">
        <v>5414.66</v>
      </c>
      <c r="R349" s="3151">
        <v>503184</v>
      </c>
      <c r="S349" s="3151">
        <v>4400</v>
      </c>
      <c r="T349" s="3151">
        <v>5414.6562000000004</v>
      </c>
      <c r="U349" s="3151">
        <v>503184</v>
      </c>
      <c r="V349" s="3153"/>
      <c r="W349" s="3153"/>
      <c r="X349" s="3153"/>
      <c r="Y349" s="3153"/>
      <c r="Z349" s="3152">
        <v>0</v>
      </c>
      <c r="AA349" s="3153"/>
      <c r="AB349" s="3151">
        <v>0</v>
      </c>
      <c r="AC349" s="3154">
        <v>44006</v>
      </c>
      <c r="AD349" s="3154">
        <v>45264.773614039354</v>
      </c>
      <c r="AE349" s="3154">
        <v>44090.403246412032</v>
      </c>
      <c r="AF349" s="3149"/>
      <c r="AG349" s="3149"/>
      <c r="AH349" s="3149"/>
      <c r="AI349" s="3149"/>
      <c r="AJ349" s="3149"/>
      <c r="AK349" s="3149"/>
      <c r="AL349" s="3154">
        <v>44006</v>
      </c>
      <c r="AM349" s="3149"/>
      <c r="AN349" s="3149"/>
      <c r="AO349" s="3149"/>
      <c r="AP349" s="3149"/>
      <c r="AQ349" s="3149"/>
      <c r="AR349" s="3149"/>
      <c r="AS349" s="3149"/>
      <c r="AT349" s="3149"/>
    </row>
    <row r="350" spans="1:46" ht="33.75">
      <c r="A350" s="3149">
        <v>342</v>
      </c>
      <c r="B350" s="3149" t="s">
        <v>3488</v>
      </c>
      <c r="C350" s="3149" t="s">
        <v>3489</v>
      </c>
      <c r="D350" s="3149" t="s">
        <v>3490</v>
      </c>
      <c r="E350" s="3149" t="s">
        <v>3776</v>
      </c>
      <c r="F350" s="3149" t="s">
        <v>3546</v>
      </c>
      <c r="G350" s="3149" t="s">
        <v>3514</v>
      </c>
      <c r="H350" s="3149" t="s">
        <v>3509</v>
      </c>
      <c r="I350" s="3149" t="s">
        <v>3777</v>
      </c>
      <c r="J350" s="3149" t="s">
        <v>3389</v>
      </c>
      <c r="K350" s="3149" t="s">
        <v>3496</v>
      </c>
      <c r="L350" s="3150">
        <v>114.36</v>
      </c>
      <c r="M350" s="3150">
        <v>92.93</v>
      </c>
      <c r="N350" s="3161">
        <v>114.36</v>
      </c>
      <c r="O350" s="3150">
        <v>92.93</v>
      </c>
      <c r="P350" s="3151">
        <v>4400</v>
      </c>
      <c r="Q350" s="3151">
        <v>5414.66</v>
      </c>
      <c r="R350" s="3151">
        <v>503184</v>
      </c>
      <c r="S350" s="3151">
        <v>4400</v>
      </c>
      <c r="T350" s="3151">
        <v>5414.6562000000004</v>
      </c>
      <c r="U350" s="3151">
        <v>503184</v>
      </c>
      <c r="V350" s="3153"/>
      <c r="W350" s="3153"/>
      <c r="X350" s="3153"/>
      <c r="Y350" s="3153"/>
      <c r="Z350" s="3152">
        <v>0</v>
      </c>
      <c r="AA350" s="3153"/>
      <c r="AB350" s="3151">
        <v>0</v>
      </c>
      <c r="AC350" s="3154">
        <v>44006</v>
      </c>
      <c r="AD350" s="3154">
        <v>45264.773614039354</v>
      </c>
      <c r="AE350" s="3154">
        <v>44090.403246412032</v>
      </c>
      <c r="AF350" s="3149"/>
      <c r="AG350" s="3149"/>
      <c r="AH350" s="3149"/>
      <c r="AI350" s="3149"/>
      <c r="AJ350" s="3149"/>
      <c r="AK350" s="3154">
        <v>44834</v>
      </c>
      <c r="AL350" s="3154">
        <v>44006</v>
      </c>
      <c r="AM350" s="3149"/>
      <c r="AN350" s="3149"/>
      <c r="AO350" s="3149"/>
      <c r="AP350" s="3149"/>
      <c r="AQ350" s="3149"/>
      <c r="AR350" s="3149"/>
      <c r="AS350" s="3149"/>
      <c r="AT350" s="3149"/>
    </row>
    <row r="351" spans="1:46" ht="33.75">
      <c r="A351" s="3149">
        <v>343</v>
      </c>
      <c r="B351" s="3149" t="s">
        <v>3488</v>
      </c>
      <c r="C351" s="3149" t="s">
        <v>3489</v>
      </c>
      <c r="D351" s="3149" t="s">
        <v>3490</v>
      </c>
      <c r="E351" s="3149" t="s">
        <v>3776</v>
      </c>
      <c r="F351" s="3149" t="s">
        <v>3546</v>
      </c>
      <c r="G351" s="3149" t="s">
        <v>3515</v>
      </c>
      <c r="H351" s="3149" t="s">
        <v>3494</v>
      </c>
      <c r="I351" s="3149" t="s">
        <v>3777</v>
      </c>
      <c r="J351" s="3149" t="s">
        <v>3389</v>
      </c>
      <c r="K351" s="3149" t="s">
        <v>3496</v>
      </c>
      <c r="L351" s="3150">
        <v>114.36</v>
      </c>
      <c r="M351" s="3150">
        <v>92.93</v>
      </c>
      <c r="N351" s="3161">
        <v>114.36</v>
      </c>
      <c r="O351" s="3150">
        <v>92.93</v>
      </c>
      <c r="P351" s="3151">
        <v>8882.5</v>
      </c>
      <c r="Q351" s="3151">
        <v>10930.84</v>
      </c>
      <c r="R351" s="3151">
        <v>1015803</v>
      </c>
      <c r="S351" s="3151">
        <v>10355.7538</v>
      </c>
      <c r="T351" s="3151">
        <v>12743.8287</v>
      </c>
      <c r="U351" s="3151">
        <v>1184284</v>
      </c>
      <c r="V351" s="3151">
        <v>8882.5</v>
      </c>
      <c r="W351" s="3151">
        <v>10930.84</v>
      </c>
      <c r="X351" s="3151">
        <v>1015803</v>
      </c>
      <c r="Y351" s="3152">
        <v>1015803</v>
      </c>
      <c r="Z351" s="3152">
        <v>0</v>
      </c>
      <c r="AA351" s="3153"/>
      <c r="AB351" s="3151">
        <v>1015803</v>
      </c>
      <c r="AC351" s="3154">
        <v>44006</v>
      </c>
      <c r="AD351" s="3154">
        <v>44372.487411145834</v>
      </c>
      <c r="AE351" s="3154">
        <v>44090.403246412032</v>
      </c>
      <c r="AF351" s="3154">
        <v>44498</v>
      </c>
      <c r="AG351" s="3154">
        <v>44498</v>
      </c>
      <c r="AH351" s="3149"/>
      <c r="AI351" s="3149"/>
      <c r="AJ351" s="3154">
        <v>45199</v>
      </c>
      <c r="AK351" s="3154">
        <v>44834</v>
      </c>
      <c r="AL351" s="3154">
        <v>44006</v>
      </c>
      <c r="AM351" s="3149" t="s">
        <v>3516</v>
      </c>
      <c r="AN351" s="3149" t="s">
        <v>3785</v>
      </c>
      <c r="AO351" s="3149" t="s">
        <v>3540</v>
      </c>
      <c r="AP351" s="3149" t="s">
        <v>3499</v>
      </c>
      <c r="AQ351" s="3149" t="s">
        <v>3499</v>
      </c>
      <c r="AR351" s="3149" t="s">
        <v>3519</v>
      </c>
      <c r="AS351" s="3149" t="s">
        <v>3520</v>
      </c>
      <c r="AT351" s="3149"/>
    </row>
    <row r="352" spans="1:46" ht="33.75">
      <c r="A352" s="3149">
        <v>344</v>
      </c>
      <c r="B352" s="3149" t="s">
        <v>3488</v>
      </c>
      <c r="C352" s="3149" t="s">
        <v>3489</v>
      </c>
      <c r="D352" s="3149" t="s">
        <v>3490</v>
      </c>
      <c r="E352" s="3149" t="s">
        <v>3776</v>
      </c>
      <c r="F352" s="3149" t="s">
        <v>3546</v>
      </c>
      <c r="G352" s="3149" t="s">
        <v>3521</v>
      </c>
      <c r="H352" s="3149" t="s">
        <v>3509</v>
      </c>
      <c r="I352" s="3149" t="s">
        <v>3777</v>
      </c>
      <c r="J352" s="3149" t="s">
        <v>3389</v>
      </c>
      <c r="K352" s="3149" t="s">
        <v>3496</v>
      </c>
      <c r="L352" s="3150">
        <v>114.36</v>
      </c>
      <c r="M352" s="3150">
        <v>92.93</v>
      </c>
      <c r="N352" s="3161">
        <v>114.36</v>
      </c>
      <c r="O352" s="3150">
        <v>92.93</v>
      </c>
      <c r="P352" s="3151">
        <v>4600</v>
      </c>
      <c r="Q352" s="3151">
        <v>5660.78</v>
      </c>
      <c r="R352" s="3151">
        <v>526056</v>
      </c>
      <c r="S352" s="3151">
        <v>4600</v>
      </c>
      <c r="T352" s="3151">
        <v>5660.7768999999998</v>
      </c>
      <c r="U352" s="3151">
        <v>526056</v>
      </c>
      <c r="V352" s="3153"/>
      <c r="W352" s="3153"/>
      <c r="X352" s="3153"/>
      <c r="Y352" s="3153"/>
      <c r="Z352" s="3152">
        <v>0</v>
      </c>
      <c r="AA352" s="3153"/>
      <c r="AB352" s="3151">
        <v>0</v>
      </c>
      <c r="AC352" s="3154">
        <v>44006</v>
      </c>
      <c r="AD352" s="3154">
        <v>45264.773614039354</v>
      </c>
      <c r="AE352" s="3154">
        <v>44090.403246412032</v>
      </c>
      <c r="AF352" s="3149"/>
      <c r="AG352" s="3149"/>
      <c r="AH352" s="3149"/>
      <c r="AI352" s="3149"/>
      <c r="AJ352" s="3149"/>
      <c r="AK352" s="3154">
        <v>44834</v>
      </c>
      <c r="AL352" s="3154">
        <v>44006</v>
      </c>
      <c r="AM352" s="3149"/>
      <c r="AN352" s="3149"/>
      <c r="AO352" s="3149"/>
      <c r="AP352" s="3149"/>
      <c r="AQ352" s="3149"/>
      <c r="AR352" s="3149"/>
      <c r="AS352" s="3149"/>
      <c r="AT352" s="3149"/>
    </row>
    <row r="353" spans="1:46" ht="33.75">
      <c r="A353" s="3149">
        <v>345</v>
      </c>
      <c r="B353" s="3149" t="s">
        <v>3488</v>
      </c>
      <c r="C353" s="3149" t="s">
        <v>4089</v>
      </c>
      <c r="D353" s="3149" t="s">
        <v>3490</v>
      </c>
      <c r="E353" s="3149" t="s">
        <v>3776</v>
      </c>
      <c r="F353" s="3149" t="s">
        <v>3546</v>
      </c>
      <c r="G353" s="3149" t="s">
        <v>3522</v>
      </c>
      <c r="H353" s="3149" t="s">
        <v>3509</v>
      </c>
      <c r="I353" s="3149" t="s">
        <v>3777</v>
      </c>
      <c r="J353" s="3149" t="s">
        <v>3389</v>
      </c>
      <c r="K353" s="3149" t="s">
        <v>3496</v>
      </c>
      <c r="L353" s="3150">
        <v>114.36</v>
      </c>
      <c r="M353" s="3150">
        <v>92.93</v>
      </c>
      <c r="N353" s="3161">
        <v>114.36</v>
      </c>
      <c r="O353" s="3150">
        <v>92.93</v>
      </c>
      <c r="P353" s="3151">
        <v>4600</v>
      </c>
      <c r="Q353" s="3151">
        <v>5660.78</v>
      </c>
      <c r="R353" s="3151">
        <v>526056</v>
      </c>
      <c r="S353" s="3151">
        <v>4600</v>
      </c>
      <c r="T353" s="3151">
        <v>5660.7768999999998</v>
      </c>
      <c r="U353" s="3151">
        <v>526056</v>
      </c>
      <c r="V353" s="3153"/>
      <c r="W353" s="3153"/>
      <c r="X353" s="3153"/>
      <c r="Y353" s="3153"/>
      <c r="Z353" s="3152">
        <v>0</v>
      </c>
      <c r="AA353" s="3153"/>
      <c r="AB353" s="3151">
        <v>0</v>
      </c>
      <c r="AC353" s="3154">
        <v>44006</v>
      </c>
      <c r="AD353" s="3154">
        <v>45264.773614039354</v>
      </c>
      <c r="AE353" s="3154">
        <v>44090.403246412032</v>
      </c>
      <c r="AF353" s="3149"/>
      <c r="AG353" s="3149"/>
      <c r="AH353" s="3149"/>
      <c r="AI353" s="3149"/>
      <c r="AJ353" s="3149"/>
      <c r="AK353" s="3154">
        <v>44834</v>
      </c>
      <c r="AL353" s="3154">
        <v>44006</v>
      </c>
      <c r="AM353" s="3149"/>
      <c r="AN353" s="3149"/>
      <c r="AO353" s="3149"/>
      <c r="AP353" s="3149"/>
      <c r="AQ353" s="3149"/>
      <c r="AR353" s="3149"/>
      <c r="AS353" s="3149"/>
      <c r="AT353" s="3149"/>
    </row>
    <row r="354" spans="1:46" ht="33.75">
      <c r="A354" s="3149">
        <v>346</v>
      </c>
      <c r="B354" s="3149" t="s">
        <v>3488</v>
      </c>
      <c r="C354" s="3149" t="s">
        <v>3489</v>
      </c>
      <c r="D354" s="3149" t="s">
        <v>3490</v>
      </c>
      <c r="E354" s="3149" t="s">
        <v>3776</v>
      </c>
      <c r="F354" s="3149" t="s">
        <v>3546</v>
      </c>
      <c r="G354" s="3149" t="s">
        <v>3523</v>
      </c>
      <c r="H354" s="3149" t="s">
        <v>3509</v>
      </c>
      <c r="I354" s="3149" t="s">
        <v>3777</v>
      </c>
      <c r="J354" s="3149" t="s">
        <v>3389</v>
      </c>
      <c r="K354" s="3149" t="s">
        <v>3496</v>
      </c>
      <c r="L354" s="3150">
        <v>114.36</v>
      </c>
      <c r="M354" s="3150">
        <v>92.93</v>
      </c>
      <c r="N354" s="3161">
        <v>114.36</v>
      </c>
      <c r="O354" s="3150">
        <v>92.93</v>
      </c>
      <c r="P354" s="3151">
        <v>4600</v>
      </c>
      <c r="Q354" s="3151">
        <v>5660.78</v>
      </c>
      <c r="R354" s="3151">
        <v>526056</v>
      </c>
      <c r="S354" s="3151">
        <v>4600</v>
      </c>
      <c r="T354" s="3151">
        <v>5660.7768999999998</v>
      </c>
      <c r="U354" s="3151">
        <v>526056</v>
      </c>
      <c r="V354" s="3153"/>
      <c r="W354" s="3153"/>
      <c r="X354" s="3153"/>
      <c r="Y354" s="3153"/>
      <c r="Z354" s="3152">
        <v>0</v>
      </c>
      <c r="AA354" s="3153"/>
      <c r="AB354" s="3151">
        <v>0</v>
      </c>
      <c r="AC354" s="3154">
        <v>44006</v>
      </c>
      <c r="AD354" s="3154">
        <v>45264.773614039354</v>
      </c>
      <c r="AE354" s="3154">
        <v>44090.403246412032</v>
      </c>
      <c r="AF354" s="3149"/>
      <c r="AG354" s="3149"/>
      <c r="AH354" s="3149"/>
      <c r="AI354" s="3149"/>
      <c r="AJ354" s="3149"/>
      <c r="AK354" s="3154">
        <v>44834</v>
      </c>
      <c r="AL354" s="3154">
        <v>44006</v>
      </c>
      <c r="AM354" s="3149"/>
      <c r="AN354" s="3149"/>
      <c r="AO354" s="3149"/>
      <c r="AP354" s="3149"/>
      <c r="AQ354" s="3149"/>
      <c r="AR354" s="3149"/>
      <c r="AS354" s="3149"/>
      <c r="AT354" s="3149"/>
    </row>
    <row r="355" spans="1:46" ht="33.75">
      <c r="A355" s="3149">
        <v>347</v>
      </c>
      <c r="B355" s="3149" t="s">
        <v>3488</v>
      </c>
      <c r="C355" s="3149" t="s">
        <v>3489</v>
      </c>
      <c r="D355" s="3149" t="s">
        <v>3490</v>
      </c>
      <c r="E355" s="3149" t="s">
        <v>3776</v>
      </c>
      <c r="F355" s="3149" t="s">
        <v>3546</v>
      </c>
      <c r="G355" s="3149" t="s">
        <v>3525</v>
      </c>
      <c r="H355" s="3149" t="s">
        <v>3509</v>
      </c>
      <c r="I355" s="3149" t="s">
        <v>3777</v>
      </c>
      <c r="J355" s="3149" t="s">
        <v>3389</v>
      </c>
      <c r="K355" s="3149" t="s">
        <v>3496</v>
      </c>
      <c r="L355" s="3150">
        <v>114.36</v>
      </c>
      <c r="M355" s="3150">
        <v>92.93</v>
      </c>
      <c r="N355" s="3161">
        <v>114.36</v>
      </c>
      <c r="O355" s="3150">
        <v>92.93</v>
      </c>
      <c r="P355" s="3151">
        <v>4550</v>
      </c>
      <c r="Q355" s="3151">
        <v>5599.25</v>
      </c>
      <c r="R355" s="3151">
        <v>520338</v>
      </c>
      <c r="S355" s="3151">
        <v>4550</v>
      </c>
      <c r="T355" s="3151">
        <v>5599.2466999999997</v>
      </c>
      <c r="U355" s="3151">
        <v>520338</v>
      </c>
      <c r="V355" s="3153"/>
      <c r="W355" s="3153"/>
      <c r="X355" s="3153"/>
      <c r="Y355" s="3153"/>
      <c r="Z355" s="3152">
        <v>0</v>
      </c>
      <c r="AA355" s="3153"/>
      <c r="AB355" s="3151">
        <v>0</v>
      </c>
      <c r="AC355" s="3154">
        <v>44006</v>
      </c>
      <c r="AD355" s="3154">
        <v>45264.773614039354</v>
      </c>
      <c r="AE355" s="3154">
        <v>44090.403246412032</v>
      </c>
      <c r="AF355" s="3149"/>
      <c r="AG355" s="3149"/>
      <c r="AH355" s="3149"/>
      <c r="AI355" s="3149"/>
      <c r="AJ355" s="3149"/>
      <c r="AK355" s="3154">
        <v>44834</v>
      </c>
      <c r="AL355" s="3154">
        <v>44006</v>
      </c>
      <c r="AM355" s="3149"/>
      <c r="AN355" s="3149"/>
      <c r="AO355" s="3149"/>
      <c r="AP355" s="3149"/>
      <c r="AQ355" s="3149"/>
      <c r="AR355" s="3149"/>
      <c r="AS355" s="3149"/>
      <c r="AT355" s="3149"/>
    </row>
    <row r="356" spans="1:46" ht="33.75">
      <c r="A356" s="3149">
        <v>348</v>
      </c>
      <c r="B356" s="3149" t="s">
        <v>3488</v>
      </c>
      <c r="C356" s="3149" t="s">
        <v>3489</v>
      </c>
      <c r="D356" s="3149" t="s">
        <v>3490</v>
      </c>
      <c r="E356" s="3149" t="s">
        <v>3776</v>
      </c>
      <c r="F356" s="3149" t="s">
        <v>3546</v>
      </c>
      <c r="G356" s="3149" t="s">
        <v>3528</v>
      </c>
      <c r="H356" s="3149" t="s">
        <v>3494</v>
      </c>
      <c r="I356" s="3149" t="s">
        <v>3777</v>
      </c>
      <c r="J356" s="3149" t="s">
        <v>3389</v>
      </c>
      <c r="K356" s="3149" t="s">
        <v>3496</v>
      </c>
      <c r="L356" s="3150">
        <v>114.36</v>
      </c>
      <c r="M356" s="3150">
        <v>92.93</v>
      </c>
      <c r="N356" s="3161">
        <v>114.36</v>
      </c>
      <c r="O356" s="3150">
        <v>92.93</v>
      </c>
      <c r="P356" s="3151">
        <v>9550</v>
      </c>
      <c r="Q356" s="3151">
        <v>11752.27</v>
      </c>
      <c r="R356" s="3151">
        <v>1092138</v>
      </c>
      <c r="S356" s="3151">
        <v>11606.811799999999</v>
      </c>
      <c r="T356" s="3151">
        <v>14283.3853</v>
      </c>
      <c r="U356" s="3151">
        <v>1327355</v>
      </c>
      <c r="V356" s="3151">
        <v>10084.799999999999</v>
      </c>
      <c r="W356" s="3151">
        <v>12410.39</v>
      </c>
      <c r="X356" s="3151">
        <v>1153298</v>
      </c>
      <c r="Y356" s="3152">
        <v>1153298</v>
      </c>
      <c r="Z356" s="3152">
        <v>0</v>
      </c>
      <c r="AA356" s="3153"/>
      <c r="AB356" s="3151">
        <v>1153298</v>
      </c>
      <c r="AC356" s="3154">
        <v>44006</v>
      </c>
      <c r="AD356" s="3154">
        <v>44089.755273182869</v>
      </c>
      <c r="AE356" s="3154">
        <v>44090.403246412032</v>
      </c>
      <c r="AF356" s="3154">
        <v>44165</v>
      </c>
      <c r="AG356" s="3154">
        <v>44165</v>
      </c>
      <c r="AH356" s="3154">
        <v>44180</v>
      </c>
      <c r="AI356" s="3154">
        <v>44189</v>
      </c>
      <c r="AJ356" s="3154">
        <v>44834</v>
      </c>
      <c r="AK356" s="3154">
        <v>44834</v>
      </c>
      <c r="AL356" s="3154">
        <v>44006</v>
      </c>
      <c r="AM356" s="3149" t="s">
        <v>3416</v>
      </c>
      <c r="AN356" s="3149" t="s">
        <v>3786</v>
      </c>
      <c r="AO356" s="3149" t="s">
        <v>3540</v>
      </c>
      <c r="AP356" s="3149" t="s">
        <v>3499</v>
      </c>
      <c r="AQ356" s="3149" t="s">
        <v>3499</v>
      </c>
      <c r="AR356" s="3149" t="s">
        <v>3500</v>
      </c>
      <c r="AS356" s="3149" t="s">
        <v>3662</v>
      </c>
      <c r="AT356" s="3149"/>
    </row>
    <row r="357" spans="1:46" ht="33.75">
      <c r="A357" s="3149">
        <v>349</v>
      </c>
      <c r="B357" s="3149" t="s">
        <v>3488</v>
      </c>
      <c r="C357" s="3149" t="s">
        <v>3489</v>
      </c>
      <c r="D357" s="3149" t="s">
        <v>3490</v>
      </c>
      <c r="E357" s="3149" t="s">
        <v>3776</v>
      </c>
      <c r="F357" s="3149" t="s">
        <v>3546</v>
      </c>
      <c r="G357" s="3149" t="s">
        <v>3529</v>
      </c>
      <c r="H357" s="3149" t="s">
        <v>3509</v>
      </c>
      <c r="I357" s="3149" t="s">
        <v>3777</v>
      </c>
      <c r="J357" s="3149" t="s">
        <v>3389</v>
      </c>
      <c r="K357" s="3149" t="s">
        <v>3496</v>
      </c>
      <c r="L357" s="3150">
        <v>114.36</v>
      </c>
      <c r="M357" s="3150">
        <v>92.93</v>
      </c>
      <c r="N357" s="3161">
        <v>114.36</v>
      </c>
      <c r="O357" s="3150">
        <v>92.93</v>
      </c>
      <c r="P357" s="3151">
        <v>4800</v>
      </c>
      <c r="Q357" s="3151">
        <v>5906.9</v>
      </c>
      <c r="R357" s="3151">
        <v>548928</v>
      </c>
      <c r="S357" s="3151">
        <v>4800</v>
      </c>
      <c r="T357" s="3151">
        <v>5906.8977000000004</v>
      </c>
      <c r="U357" s="3151">
        <v>548928</v>
      </c>
      <c r="V357" s="3153"/>
      <c r="W357" s="3153"/>
      <c r="X357" s="3153"/>
      <c r="Y357" s="3153"/>
      <c r="Z357" s="3152">
        <v>0</v>
      </c>
      <c r="AA357" s="3153"/>
      <c r="AB357" s="3151">
        <v>0</v>
      </c>
      <c r="AC357" s="3154">
        <v>44006</v>
      </c>
      <c r="AD357" s="3154">
        <v>45264.773614039354</v>
      </c>
      <c r="AE357" s="3154">
        <v>44090.403246412032</v>
      </c>
      <c r="AF357" s="3149"/>
      <c r="AG357" s="3149"/>
      <c r="AH357" s="3149"/>
      <c r="AI357" s="3149"/>
      <c r="AJ357" s="3149"/>
      <c r="AK357" s="3154">
        <v>44834</v>
      </c>
      <c r="AL357" s="3154">
        <v>44006</v>
      </c>
      <c r="AM357" s="3149"/>
      <c r="AN357" s="3149"/>
      <c r="AO357" s="3149"/>
      <c r="AP357" s="3149"/>
      <c r="AQ357" s="3149"/>
      <c r="AR357" s="3149"/>
      <c r="AS357" s="3149"/>
      <c r="AT357" s="3149"/>
    </row>
    <row r="358" spans="1:46" ht="33.75">
      <c r="A358" s="3149">
        <v>350</v>
      </c>
      <c r="B358" s="3149" t="s">
        <v>3488</v>
      </c>
      <c r="C358" s="3149" t="s">
        <v>3489</v>
      </c>
      <c r="D358" s="3149" t="s">
        <v>3490</v>
      </c>
      <c r="E358" s="3149" t="s">
        <v>3776</v>
      </c>
      <c r="F358" s="3149" t="s">
        <v>3546</v>
      </c>
      <c r="G358" s="3149" t="s">
        <v>3530</v>
      </c>
      <c r="H358" s="3149" t="s">
        <v>3494</v>
      </c>
      <c r="I358" s="3149" t="s">
        <v>3777</v>
      </c>
      <c r="J358" s="3149" t="s">
        <v>3389</v>
      </c>
      <c r="K358" s="3149" t="s">
        <v>3496</v>
      </c>
      <c r="L358" s="3150">
        <v>114.36</v>
      </c>
      <c r="M358" s="3150">
        <v>92.93</v>
      </c>
      <c r="N358" s="3161">
        <v>114.36</v>
      </c>
      <c r="O358" s="3150">
        <v>92.93</v>
      </c>
      <c r="P358" s="3151">
        <v>9072.5</v>
      </c>
      <c r="Q358" s="3151">
        <v>11164.65</v>
      </c>
      <c r="R358" s="3151">
        <v>1037531</v>
      </c>
      <c r="S358" s="3151">
        <v>10577.264800000001</v>
      </c>
      <c r="T358" s="3151">
        <v>13016.421</v>
      </c>
      <c r="U358" s="3151">
        <v>1209616</v>
      </c>
      <c r="V358" s="3151">
        <v>9072.5</v>
      </c>
      <c r="W358" s="3151">
        <v>11164.65</v>
      </c>
      <c r="X358" s="3151">
        <v>1037531</v>
      </c>
      <c r="Y358" s="3152">
        <v>1037531</v>
      </c>
      <c r="Z358" s="3152">
        <v>0</v>
      </c>
      <c r="AA358" s="3153"/>
      <c r="AB358" s="3151">
        <v>1037531</v>
      </c>
      <c r="AC358" s="3154">
        <v>44006</v>
      </c>
      <c r="AD358" s="3154">
        <v>44372.487411145834</v>
      </c>
      <c r="AE358" s="3154">
        <v>44090.403246412032</v>
      </c>
      <c r="AF358" s="3154">
        <v>44530</v>
      </c>
      <c r="AG358" s="3154">
        <v>44530</v>
      </c>
      <c r="AH358" s="3149"/>
      <c r="AI358" s="3149"/>
      <c r="AJ358" s="3154">
        <v>45199</v>
      </c>
      <c r="AK358" s="3149"/>
      <c r="AL358" s="3154">
        <v>44006</v>
      </c>
      <c r="AM358" s="3149" t="s">
        <v>3516</v>
      </c>
      <c r="AN358" s="3149" t="s">
        <v>3787</v>
      </c>
      <c r="AO358" s="3149" t="s">
        <v>3638</v>
      </c>
      <c r="AP358" s="3149" t="s">
        <v>3499</v>
      </c>
      <c r="AQ358" s="3149" t="s">
        <v>3499</v>
      </c>
      <c r="AR358" s="3149" t="s">
        <v>3519</v>
      </c>
      <c r="AS358" s="3149" t="s">
        <v>3520</v>
      </c>
      <c r="AT358" s="3149"/>
    </row>
    <row r="359" spans="1:46" ht="33.75">
      <c r="A359" s="3149">
        <v>351</v>
      </c>
      <c r="B359" s="3149" t="s">
        <v>3488</v>
      </c>
      <c r="C359" s="3149" t="s">
        <v>3489</v>
      </c>
      <c r="D359" s="3149" t="s">
        <v>3490</v>
      </c>
      <c r="E359" s="3149" t="s">
        <v>3776</v>
      </c>
      <c r="F359" s="3149" t="s">
        <v>3546</v>
      </c>
      <c r="G359" s="3149" t="s">
        <v>3532</v>
      </c>
      <c r="H359" s="3149" t="s">
        <v>3509</v>
      </c>
      <c r="I359" s="3149" t="s">
        <v>3777</v>
      </c>
      <c r="J359" s="3149" t="s">
        <v>3389</v>
      </c>
      <c r="K359" s="3149" t="s">
        <v>3496</v>
      </c>
      <c r="L359" s="3150">
        <v>151.86000000000001</v>
      </c>
      <c r="M359" s="3150">
        <v>123.4</v>
      </c>
      <c r="N359" s="3161">
        <v>151.86000000000001</v>
      </c>
      <c r="O359" s="3150">
        <v>123.4</v>
      </c>
      <c r="P359" s="3151">
        <v>4800</v>
      </c>
      <c r="Q359" s="3151">
        <v>5907.03</v>
      </c>
      <c r="R359" s="3151">
        <v>728928</v>
      </c>
      <c r="S359" s="3151">
        <v>4800</v>
      </c>
      <c r="T359" s="3151">
        <v>5907.0339999999997</v>
      </c>
      <c r="U359" s="3151">
        <v>728928</v>
      </c>
      <c r="V359" s="3153"/>
      <c r="W359" s="3153"/>
      <c r="X359" s="3153"/>
      <c r="Y359" s="3153"/>
      <c r="Z359" s="3152">
        <v>0</v>
      </c>
      <c r="AA359" s="3153"/>
      <c r="AB359" s="3151">
        <v>0</v>
      </c>
      <c r="AC359" s="3154">
        <v>44006</v>
      </c>
      <c r="AD359" s="3154">
        <v>45264.773614039354</v>
      </c>
      <c r="AE359" s="3154">
        <v>44090.403246412032</v>
      </c>
      <c r="AF359" s="3149"/>
      <c r="AG359" s="3149"/>
      <c r="AH359" s="3149"/>
      <c r="AI359" s="3149"/>
      <c r="AJ359" s="3149"/>
      <c r="AK359" s="3154">
        <v>44834</v>
      </c>
      <c r="AL359" s="3154">
        <v>44006</v>
      </c>
      <c r="AM359" s="3149"/>
      <c r="AN359" s="3149"/>
      <c r="AO359" s="3149"/>
      <c r="AP359" s="3149"/>
      <c r="AQ359" s="3149"/>
      <c r="AR359" s="3149"/>
      <c r="AS359" s="3149"/>
      <c r="AT359" s="3149"/>
    </row>
    <row r="360" spans="1:46" ht="33.75">
      <c r="A360" s="3149">
        <v>352</v>
      </c>
      <c r="B360" s="3149" t="s">
        <v>3488</v>
      </c>
      <c r="C360" s="3149" t="s">
        <v>3489</v>
      </c>
      <c r="D360" s="3149" t="s">
        <v>3490</v>
      </c>
      <c r="E360" s="3149" t="s">
        <v>3776</v>
      </c>
      <c r="F360" s="3149" t="s">
        <v>3546</v>
      </c>
      <c r="G360" s="3149" t="s">
        <v>3534</v>
      </c>
      <c r="H360" s="3149" t="s">
        <v>3509</v>
      </c>
      <c r="I360" s="3149" t="s">
        <v>3777</v>
      </c>
      <c r="J360" s="3149" t="s">
        <v>3389</v>
      </c>
      <c r="K360" s="3149" t="s">
        <v>3496</v>
      </c>
      <c r="L360" s="3150">
        <v>155.72999999999999</v>
      </c>
      <c r="M360" s="3150">
        <v>126.55</v>
      </c>
      <c r="N360" s="3161">
        <v>155.72999999999999</v>
      </c>
      <c r="O360" s="3150">
        <v>126.55</v>
      </c>
      <c r="P360" s="3151">
        <v>4800</v>
      </c>
      <c r="Q360" s="3151">
        <v>5906.79</v>
      </c>
      <c r="R360" s="3151">
        <v>747504</v>
      </c>
      <c r="S360" s="3151">
        <v>4800</v>
      </c>
      <c r="T360" s="3151">
        <v>5906.7878000000001</v>
      </c>
      <c r="U360" s="3151">
        <v>747504</v>
      </c>
      <c r="V360" s="3153"/>
      <c r="W360" s="3153"/>
      <c r="X360" s="3153"/>
      <c r="Y360" s="3153"/>
      <c r="Z360" s="3152">
        <v>0</v>
      </c>
      <c r="AA360" s="3153"/>
      <c r="AB360" s="3151">
        <v>0</v>
      </c>
      <c r="AC360" s="3154">
        <v>44006</v>
      </c>
      <c r="AD360" s="3154">
        <v>45264.773614039354</v>
      </c>
      <c r="AE360" s="3154">
        <v>44090.403246412032</v>
      </c>
      <c r="AF360" s="3149"/>
      <c r="AG360" s="3149"/>
      <c r="AH360" s="3149"/>
      <c r="AI360" s="3149"/>
      <c r="AJ360" s="3149"/>
      <c r="AK360" s="3154">
        <v>44834</v>
      </c>
      <c r="AL360" s="3154">
        <v>44006</v>
      </c>
      <c r="AM360" s="3149"/>
      <c r="AN360" s="3149"/>
      <c r="AO360" s="3149"/>
      <c r="AP360" s="3149"/>
      <c r="AQ360" s="3149"/>
      <c r="AR360" s="3149"/>
      <c r="AS360" s="3149"/>
      <c r="AT360" s="3149"/>
    </row>
    <row r="361" spans="1:46">
      <c r="A361" s="3148" t="s">
        <v>3788</v>
      </c>
      <c r="B361" s="3148"/>
      <c r="C361" s="3148"/>
      <c r="D361" s="3148"/>
      <c r="E361" s="3148"/>
      <c r="F361" s="3148"/>
      <c r="G361" s="3148"/>
      <c r="H361" s="3148"/>
      <c r="I361" s="3148"/>
      <c r="J361" s="3148"/>
      <c r="K361" s="3148"/>
      <c r="L361" s="3155">
        <v>39359.72</v>
      </c>
      <c r="M361" s="3155">
        <v>31795.96</v>
      </c>
      <c r="N361" s="3162">
        <v>39359.72</v>
      </c>
      <c r="O361" s="3155">
        <v>31795.96</v>
      </c>
      <c r="P361" s="3156"/>
      <c r="Q361" s="3156"/>
      <c r="R361" s="3157">
        <v>332057472</v>
      </c>
      <c r="S361" s="3156"/>
      <c r="T361" s="3156"/>
      <c r="U361" s="3157">
        <v>370513209</v>
      </c>
      <c r="V361" s="3156"/>
      <c r="W361" s="3156"/>
      <c r="X361" s="3157">
        <v>272128122</v>
      </c>
      <c r="Y361" s="3158">
        <v>272128122</v>
      </c>
      <c r="Z361" s="3158">
        <v>0</v>
      </c>
      <c r="AA361" s="3156"/>
      <c r="AB361" s="3157">
        <v>264796508.40000001</v>
      </c>
      <c r="AC361" s="3148"/>
      <c r="AD361" s="3148"/>
      <c r="AE361" s="3148"/>
      <c r="AF361" s="3148"/>
      <c r="AG361" s="3148"/>
      <c r="AH361" s="3148"/>
      <c r="AI361" s="3148"/>
      <c r="AJ361" s="3148"/>
      <c r="AK361" s="3148"/>
      <c r="AL361" s="3148"/>
      <c r="AM361" s="3148"/>
      <c r="AN361" s="3148"/>
      <c r="AO361" s="3148"/>
      <c r="AP361" s="3148"/>
      <c r="AQ361" s="3148"/>
      <c r="AR361" s="3148"/>
      <c r="AS361" s="3148"/>
      <c r="AT361" s="3148"/>
    </row>
    <row r="362" spans="1:46" ht="409.6" hidden="1" customHeight="1"/>
    <row r="363" spans="1:46">
      <c r="N363" s="3164">
        <f>SUM(N9:N360)</f>
        <v>39359.720000000052</v>
      </c>
      <c r="O363" s="3164">
        <f>SUM(O9:O360)</f>
        <v>31795.959999999952</v>
      </c>
      <c r="U363" s="3147">
        <f>U361/N363</f>
        <v>9413.5123166526464</v>
      </c>
    </row>
  </sheetData>
  <mergeCells count="3">
    <mergeCell ref="A2:AT2"/>
    <mergeCell ref="A4:AT4"/>
    <mergeCell ref="A6:AT6"/>
  </mergeCells>
  <phoneticPr fontId="135" type="noConversion"/>
  <pageMargins left="0.98425196850393704" right="0.98425196850393704" top="0.98425196850393704" bottom="0.98425196850393704" header="0.98425196850393704" footer="0.98425196850393704"/>
  <pageSetup paperSize="9" orientation="portrait" horizontalDpi="0" verticalDpi="0"/>
  <headerFooter alignWithMargins="0">
    <oddFooter>&amp;L&amp;C&amp;R</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8" sqref="G2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1124</v>
      </c>
      <c r="B1" s="1071"/>
      <c r="C1" s="1071"/>
      <c r="D1" s="1071"/>
      <c r="E1" s="1071"/>
      <c r="F1" s="1071"/>
      <c r="G1" s="1071"/>
      <c r="H1" s="1071"/>
      <c r="I1" s="1071"/>
      <c r="J1" s="1071"/>
      <c r="K1" s="1071"/>
      <c r="L1" s="1071"/>
      <c r="M1" s="1071"/>
      <c r="N1" s="1071"/>
      <c r="O1" s="1071"/>
      <c r="P1" s="1071"/>
    </row>
    <row r="2" spans="1:16" ht="15">
      <c r="A2" s="3357" t="s">
        <v>1125</v>
      </c>
      <c r="B2" s="3357"/>
      <c r="C2" s="3357"/>
      <c r="D2" s="748" t="s">
        <v>1101</v>
      </c>
      <c r="E2" s="1522" t="s">
        <v>1102</v>
      </c>
      <c r="F2" s="2434"/>
      <c r="G2" s="2427"/>
      <c r="H2" s="2428"/>
      <c r="I2" s="2142" t="s">
        <v>1126</v>
      </c>
      <c r="J2" s="2434"/>
      <c r="K2" s="2434"/>
      <c r="L2" s="2434"/>
      <c r="M2" s="2434"/>
      <c r="N2" s="2435"/>
      <c r="O2" s="2434"/>
      <c r="P2" s="2434"/>
    </row>
    <row r="3" spans="1:16" ht="15.75" thickBot="1">
      <c r="A3" s="3358" t="s">
        <v>1099</v>
      </c>
      <c r="B3" s="3358"/>
      <c r="C3" s="3358"/>
      <c r="D3" s="41">
        <f>'数据-基础表'!AY6</f>
        <v>0</v>
      </c>
      <c r="E3" s="41">
        <f>'数据-基础表'!AZ5</f>
        <v>86196.960000000021</v>
      </c>
      <c r="F3" s="2434"/>
      <c r="G3" s="42"/>
      <c r="H3" s="43" t="s">
        <v>1100</v>
      </c>
      <c r="I3" s="802" t="e">
        <f>ROUND('数据-基础表'!B3/'数据-基础表'!A3,2)</f>
        <v>#DIV/0!</v>
      </c>
      <c r="J3" s="2434"/>
      <c r="K3" s="2434"/>
      <c r="L3" s="2434"/>
      <c r="M3" s="2434"/>
      <c r="N3" s="2435"/>
      <c r="O3" s="2434"/>
      <c r="P3" s="2434"/>
    </row>
    <row r="4" spans="1:16" ht="15">
      <c r="A4" s="3359"/>
      <c r="B4" s="3360"/>
      <c r="C4" s="3361"/>
      <c r="D4" s="1523" t="s">
        <v>1101</v>
      </c>
      <c r="E4" s="1524" t="s">
        <v>1102</v>
      </c>
      <c r="F4" s="2434"/>
      <c r="G4" s="2429" t="s">
        <v>1127</v>
      </c>
      <c r="H4" s="43" t="s">
        <v>1107</v>
      </c>
      <c r="I4" s="802" t="e">
        <f>ROUND(SUMIF('数据-基础表'!I9:AS9,"地上",'数据-基础表'!I5:AS5)/'数据-基础表'!A3,2)</f>
        <v>#DIV/0!</v>
      </c>
      <c r="J4" s="2434"/>
      <c r="K4" s="2434"/>
      <c r="L4" s="2434"/>
      <c r="M4" s="2434"/>
      <c r="N4" s="2435"/>
      <c r="O4" s="2434"/>
      <c r="P4" s="2434"/>
    </row>
    <row r="5" spans="1:16">
      <c r="A5" s="42" t="s">
        <v>1103</v>
      </c>
      <c r="B5" s="3362" t="s">
        <v>1104</v>
      </c>
      <c r="C5" s="3362"/>
      <c r="D5" s="43">
        <f>ROUND($D$3*E5/$E$3,2)</f>
        <v>0</v>
      </c>
      <c r="E5" s="44">
        <f>SUMIF('数据-基础表'!$11:$11,"住宅",'数据-基础表'!$5:$5)</f>
        <v>85571.080000000016</v>
      </c>
      <c r="F5" s="2434"/>
      <c r="G5" s="42"/>
      <c r="H5" s="43" t="s">
        <v>1100</v>
      </c>
      <c r="I5" s="802" t="e">
        <f>ROUND(E31/D31,2)</f>
        <v>#DIV/0!</v>
      </c>
      <c r="J5" s="2434"/>
      <c r="K5" s="2434"/>
      <c r="L5" s="2434"/>
      <c r="M5" s="2434"/>
      <c r="N5" s="2434"/>
      <c r="O5" s="2434"/>
      <c r="P5" s="2434"/>
    </row>
    <row r="6" spans="1:16" ht="15" thickBot="1">
      <c r="A6" s="1526"/>
      <c r="B6" s="3362" t="s">
        <v>1105</v>
      </c>
      <c r="C6" s="3362"/>
      <c r="D6" s="43">
        <f>ROUND($D$3*E6/$E$3,2)</f>
        <v>0</v>
      </c>
      <c r="E6" s="44">
        <f>E3-E5</f>
        <v>625.88000000000466</v>
      </c>
      <c r="F6" s="2434"/>
      <c r="G6" s="1528" t="s">
        <v>1106</v>
      </c>
      <c r="H6" s="45" t="s">
        <v>1107</v>
      </c>
      <c r="I6" s="2430" t="e">
        <f>ROUND(F31/D31,2)</f>
        <v>#DIV/0!</v>
      </c>
      <c r="J6" s="2434"/>
      <c r="K6" s="2434"/>
      <c r="L6" s="2434"/>
      <c r="M6" s="2434"/>
      <c r="N6" s="2434"/>
      <c r="O6" s="2434"/>
      <c r="P6" s="2434"/>
    </row>
    <row r="7" spans="1:16" ht="15.75" thickBot="1">
      <c r="A7" s="3354"/>
      <c r="B7" s="3355"/>
      <c r="C7" s="3356"/>
      <c r="D7" s="1523" t="s">
        <v>1101</v>
      </c>
      <c r="E7" s="1527" t="s">
        <v>1108</v>
      </c>
      <c r="F7" s="2434"/>
      <c r="G7" s="2431" t="s">
        <v>1109</v>
      </c>
      <c r="H7" s="95"/>
      <c r="I7" s="2432"/>
      <c r="J7" s="2434"/>
      <c r="K7" s="2434"/>
      <c r="L7" s="2434"/>
      <c r="M7" s="2434"/>
      <c r="N7" s="2434"/>
      <c r="O7" s="2434"/>
      <c r="P7" s="2434"/>
    </row>
    <row r="8" spans="1:16">
      <c r="A8" s="42" t="s">
        <v>1110</v>
      </c>
      <c r="B8" s="45" t="s">
        <v>1111</v>
      </c>
      <c r="C8" s="43" t="s">
        <v>1112</v>
      </c>
      <c r="D8" s="43">
        <f t="shared" ref="D8:D15" si="0">ROUND($D$3*E8/$E$3,2)</f>
        <v>0</v>
      </c>
      <c r="E8" s="46">
        <f>SUMIF('数据-基础表'!BB10:BK10,"地上",'数据-基础表'!BB5:BK5)</f>
        <v>86196.960000000021</v>
      </c>
      <c r="F8" s="2434"/>
      <c r="G8" s="2434"/>
      <c r="H8" s="2434"/>
      <c r="I8" s="2434"/>
      <c r="J8" s="2434"/>
      <c r="K8" s="2434"/>
      <c r="L8" s="2434"/>
      <c r="M8" s="2434"/>
      <c r="N8" s="2434"/>
      <c r="O8" s="2434"/>
      <c r="P8" s="2434"/>
    </row>
    <row r="9" spans="1:16">
      <c r="A9" s="1528"/>
      <c r="B9" s="1529"/>
      <c r="C9" s="43" t="s">
        <v>1113</v>
      </c>
      <c r="D9" s="43">
        <f t="shared" si="0"/>
        <v>0</v>
      </c>
      <c r="E9" s="47">
        <v>0</v>
      </c>
      <c r="F9" s="2434"/>
      <c r="G9" s="2434"/>
      <c r="H9" s="2434"/>
      <c r="I9" s="2434"/>
      <c r="J9" s="2434"/>
      <c r="K9" s="2434"/>
      <c r="L9" s="2434"/>
      <c r="M9" s="2434"/>
      <c r="N9" s="2434"/>
      <c r="O9" s="2434"/>
      <c r="P9" s="2434"/>
    </row>
    <row r="10" spans="1:16">
      <c r="A10" s="1528"/>
      <c r="B10" s="1529"/>
      <c r="C10" s="43" t="s">
        <v>1122</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1114</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1115</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1116</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1128</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1123</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1117</v>
      </c>
      <c r="D16" s="45">
        <f>SUM(D8:D15)</f>
        <v>0</v>
      </c>
      <c r="E16" s="48">
        <f>SUM(E8:E15)</f>
        <v>86196.960000000021</v>
      </c>
      <c r="F16" s="2434"/>
      <c r="G16" s="2434"/>
      <c r="H16" s="1530" t="s">
        <v>1129</v>
      </c>
      <c r="I16" s="1531"/>
      <c r="J16" s="1071"/>
      <c r="K16" s="3351" t="s">
        <v>1129</v>
      </c>
      <c r="L16" s="3352"/>
      <c r="M16" s="3352"/>
      <c r="N16" s="3352"/>
      <c r="O16" s="3352"/>
      <c r="P16" s="3353"/>
    </row>
    <row r="17" spans="1:19" ht="15">
      <c r="A17" s="1532" t="s">
        <v>1130</v>
      </c>
      <c r="B17" s="1533" t="s">
        <v>1131</v>
      </c>
      <c r="C17" s="1534" t="s">
        <v>1132</v>
      </c>
      <c r="D17" s="1535" t="s">
        <v>1120</v>
      </c>
      <c r="E17" s="1536" t="s">
        <v>1121</v>
      </c>
      <c r="F17" s="1537"/>
      <c r="G17" s="1538"/>
      <c r="H17" s="1539" t="s">
        <v>1133</v>
      </c>
      <c r="I17" s="1540" t="s">
        <v>1118</v>
      </c>
      <c r="J17" s="1071"/>
      <c r="K17" s="3348" t="s">
        <v>1134</v>
      </c>
      <c r="L17" s="3349"/>
      <c r="M17" s="3350"/>
      <c r="N17" s="3348" t="s">
        <v>1135</v>
      </c>
      <c r="O17" s="3349"/>
      <c r="P17" s="3350"/>
      <c r="R17" s="769" t="s">
        <v>1136</v>
      </c>
      <c r="S17" s="54"/>
    </row>
    <row r="18" spans="1:19" ht="15">
      <c r="A18" s="1528"/>
      <c r="B18" s="1525"/>
      <c r="C18" s="1541"/>
      <c r="D18" s="1542"/>
      <c r="E18" s="1543" t="s">
        <v>1137</v>
      </c>
      <c r="F18" s="1544" t="s">
        <v>1138</v>
      </c>
      <c r="G18" s="1545" t="s">
        <v>1139</v>
      </c>
      <c r="H18" s="980" t="s">
        <v>1140</v>
      </c>
      <c r="I18" s="1546" t="s">
        <v>1141</v>
      </c>
      <c r="J18" s="1071"/>
      <c r="K18" s="980" t="s">
        <v>1142</v>
      </c>
      <c r="L18" s="1547" t="s">
        <v>1143</v>
      </c>
      <c r="M18" s="802" t="s">
        <v>1144</v>
      </c>
      <c r="N18" s="980" t="s">
        <v>1142</v>
      </c>
      <c r="O18" s="1547" t="s">
        <v>1143</v>
      </c>
      <c r="P18" s="802" t="s">
        <v>1144</v>
      </c>
      <c r="R18" s="43" t="s">
        <v>1145</v>
      </c>
      <c r="S18" s="43" t="s">
        <v>1146</v>
      </c>
    </row>
    <row r="19" spans="1:19">
      <c r="A19" s="1548"/>
      <c r="B19" s="45" t="s">
        <v>1119</v>
      </c>
      <c r="C19" s="3110" t="s">
        <v>3390</v>
      </c>
      <c r="D19" s="43">
        <f>ROUND($D$3*E19/$E$3,2)</f>
        <v>0</v>
      </c>
      <c r="E19" s="51">
        <f t="shared" ref="E19:E26" si="1">SUM(F19:G19)</f>
        <v>85571.080000000016</v>
      </c>
      <c r="F19" s="2552">
        <f>'数据-基础表'!I13</f>
        <v>85571.080000000016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85571.080000000016</v>
      </c>
    </row>
    <row r="20" spans="1:19">
      <c r="A20" s="1548"/>
      <c r="B20" s="45" t="s">
        <v>1147</v>
      </c>
      <c r="C20" s="3110" t="s">
        <v>4146</v>
      </c>
      <c r="D20" s="43">
        <f t="shared" ref="D20:D26" si="6">ROUND($D$3*E20/$E$3,2)</f>
        <v>0</v>
      </c>
      <c r="E20" s="51">
        <f t="shared" si="1"/>
        <v>625.88</v>
      </c>
      <c r="F20" s="2552">
        <f>'数据-基础表'!K13</f>
        <v>625.88</v>
      </c>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625.88</v>
      </c>
    </row>
    <row r="21" spans="1:19">
      <c r="A21" s="1548"/>
      <c r="B21" s="45" t="s">
        <v>1147</v>
      </c>
      <c r="C21" s="3110"/>
      <c r="D21" s="43">
        <f t="shared" si="6"/>
        <v>0</v>
      </c>
      <c r="E21" s="51">
        <f t="shared" si="1"/>
        <v>0</v>
      </c>
      <c r="F21" s="2552"/>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1147</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1147</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1147</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1147</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1147</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1148</v>
      </c>
      <c r="D27" s="1072">
        <f>SUM(D19:D26)</f>
        <v>0</v>
      </c>
      <c r="E27" s="1073">
        <f>IF(SUM(E19:E26)='数据-基础表'!BA5,SUM(E19:E26),IF(F27="地上面积有误","面积有误","地下面积有误"))</f>
        <v>86196.960000000021</v>
      </c>
      <c r="F27" s="1072">
        <f>IF(SUM(F19:F26)=E8,SUM(F19:F26),"地上面积有误")</f>
        <v>86196.960000000021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86196.960000000021</v>
      </c>
    </row>
    <row r="28" spans="1:19">
      <c r="A28" s="1548"/>
      <c r="B28" s="45" t="s">
        <v>1149</v>
      </c>
      <c r="C28" s="54" t="s">
        <v>1150</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1149</v>
      </c>
      <c r="C29" s="1554" t="s">
        <v>1151</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1148</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1152</v>
      </c>
      <c r="D31" s="643">
        <f>D27+D30</f>
        <v>0</v>
      </c>
      <c r="E31" s="643">
        <f>E27+E30</f>
        <v>86196.960000000021</v>
      </c>
      <c r="F31" s="644">
        <f>F27+F30</f>
        <v>86196.960000000021</v>
      </c>
      <c r="G31" s="645">
        <f>G27+G30</f>
        <v>0</v>
      </c>
      <c r="H31" s="2434"/>
      <c r="I31" s="2434"/>
      <c r="J31" s="2434"/>
      <c r="K31" s="2434"/>
      <c r="L31" s="2434"/>
      <c r="M31" s="2434"/>
      <c r="N31" s="2434"/>
      <c r="O31" s="2434"/>
      <c r="P31" s="2434"/>
    </row>
    <row r="32" spans="1:19">
      <c r="A32" s="1525"/>
      <c r="B32" s="1525" t="s">
        <v>1153</v>
      </c>
      <c r="C32" s="1525"/>
      <c r="D32" s="1525"/>
      <c r="E32" s="990">
        <f>SUMIF(C19:C26,"*住宅*",E19:E26)</f>
        <v>85571.080000000016</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21" sqref="AK2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9.2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1154</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75" thickBot="1">
      <c r="A2" s="1561" t="s">
        <v>1155</v>
      </c>
      <c r="B2" s="984">
        <f>项目基本情况!D3</f>
        <v>45291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1156</v>
      </c>
      <c r="B4" s="1563"/>
      <c r="C4" s="1564"/>
      <c r="D4" s="1565"/>
      <c r="E4" s="1564" t="s">
        <v>1157</v>
      </c>
      <c r="F4" s="1564"/>
      <c r="G4" s="1564"/>
      <c r="H4" s="1564"/>
      <c r="I4" s="1564"/>
      <c r="J4" s="1566"/>
      <c r="K4" s="1567"/>
      <c r="L4" s="1568"/>
      <c r="M4" s="1564"/>
      <c r="N4" s="1564" t="s">
        <v>1158</v>
      </c>
      <c r="O4" s="1564"/>
      <c r="P4" s="1564"/>
      <c r="Q4" s="1564"/>
      <c r="R4" s="1564"/>
      <c r="S4" s="1566"/>
      <c r="T4" s="2433" t="str">
        <f>'数据-汇总表'!I17</f>
        <v>按面积比例</v>
      </c>
      <c r="U4" s="1563" t="s">
        <v>1159</v>
      </c>
      <c r="V4" s="1564"/>
      <c r="W4" s="1564"/>
      <c r="X4" s="1564"/>
      <c r="Y4" s="1566"/>
      <c r="Z4" s="1534" t="s">
        <v>1160</v>
      </c>
      <c r="AA4" s="1534"/>
      <c r="AB4" s="1534"/>
      <c r="AC4" s="1534"/>
      <c r="AD4" s="1534"/>
      <c r="AE4" s="1532" t="s">
        <v>1161</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1162</v>
      </c>
      <c r="B5" s="1571" t="s">
        <v>1163</v>
      </c>
      <c r="C5" s="1572" t="s">
        <v>1164</v>
      </c>
      <c r="D5" s="1573" t="s">
        <v>1165</v>
      </c>
      <c r="E5" s="504" t="s">
        <v>1166</v>
      </c>
      <c r="F5" s="1574" t="s">
        <v>1167</v>
      </c>
      <c r="G5" s="504" t="s">
        <v>1168</v>
      </c>
      <c r="H5" s="504" t="s">
        <v>1169</v>
      </c>
      <c r="I5" s="504" t="s">
        <v>1170</v>
      </c>
      <c r="J5" s="1246" t="s">
        <v>1171</v>
      </c>
      <c r="K5" s="1575" t="s">
        <v>1172</v>
      </c>
      <c r="L5" s="1576" t="s">
        <v>1173</v>
      </c>
      <c r="M5" s="1577" t="s">
        <v>1174</v>
      </c>
      <c r="N5" s="1578" t="s">
        <v>3391</v>
      </c>
      <c r="O5" s="1576" t="s">
        <v>1175</v>
      </c>
      <c r="P5" s="1579" t="s">
        <v>1176</v>
      </c>
      <c r="Q5" s="58" t="s">
        <v>1177</v>
      </c>
      <c r="R5" s="1580" t="s">
        <v>1178</v>
      </c>
      <c r="S5" s="1581" t="s">
        <v>1179</v>
      </c>
      <c r="T5" s="1582" t="s">
        <v>1180</v>
      </c>
      <c r="U5" s="985" t="s">
        <v>1181</v>
      </c>
      <c r="V5" s="504" t="s">
        <v>1182</v>
      </c>
      <c r="W5" s="504" t="s">
        <v>1183</v>
      </c>
      <c r="X5" s="60"/>
      <c r="Y5" s="59" t="s">
        <v>1184</v>
      </c>
      <c r="Z5" s="1100" t="s">
        <v>1181</v>
      </c>
      <c r="AA5" s="504" t="s">
        <v>1182</v>
      </c>
      <c r="AB5" s="504" t="s">
        <v>1183</v>
      </c>
      <c r="AC5" s="60"/>
      <c r="AD5" s="60" t="s">
        <v>1184</v>
      </c>
      <c r="AE5" s="985" t="s">
        <v>1185</v>
      </c>
      <c r="AF5" s="504" t="s">
        <v>1186</v>
      </c>
      <c r="AG5" s="59" t="s">
        <v>1187</v>
      </c>
      <c r="AH5" s="985" t="s">
        <v>1188</v>
      </c>
      <c r="AI5" s="1100" t="s">
        <v>1189</v>
      </c>
      <c r="AJ5" s="1100" t="s">
        <v>1190</v>
      </c>
      <c r="AK5" s="504" t="s">
        <v>1191</v>
      </c>
      <c r="AL5" s="504" t="s">
        <v>1192</v>
      </c>
      <c r="AM5" s="59" t="s">
        <v>1193</v>
      </c>
      <c r="AN5" s="1583" t="s">
        <v>1194</v>
      </c>
      <c r="AO5" s="1453" t="s">
        <v>1195</v>
      </c>
      <c r="AP5" s="968" t="s">
        <v>1196</v>
      </c>
      <c r="AQ5" s="1584" t="s">
        <v>1197</v>
      </c>
      <c r="AR5" s="1584" t="s">
        <v>1198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住宅-小高层</v>
      </c>
      <c r="B6" s="1586" t="str">
        <f>IF(A6=0,"","经营性")</f>
        <v>经营性</v>
      </c>
      <c r="C6" s="1587" t="s">
        <v>3387</v>
      </c>
      <c r="D6" s="805">
        <f>SUMIF(项目基本情况!C$12:I$12,C6,项目基本情况!C$14:I$14)</f>
        <v>70</v>
      </c>
      <c r="E6" s="804">
        <f>IF(B6="","",SUMIF(项目基本情况!C$12:I$12,C6,项目基本情况!C$13:I$13))</f>
        <v>69239</v>
      </c>
      <c r="F6" s="61">
        <f>SUMIF(项目基本情况!C$12:I$12,C6,项目基本情况!C$15:I$15)</f>
        <v>65.61</v>
      </c>
      <c r="G6" s="62">
        <f>IF(ISERROR(ROUND(POWER(1+H6,D6-F6)*(POWER(1+H6,F6)-1)/(POWER(1+H6,D6)-1),3)),0,ROUND(POWER(1+H6,D6-F6)*(POWER(1+H6,F6)-1)/(POWER(1+H6,D6)-1),3))</f>
        <v>0.99</v>
      </c>
      <c r="H6" s="691">
        <v>4.4999999999999998E-2</v>
      </c>
      <c r="I6" s="691">
        <v>0.05</v>
      </c>
      <c r="J6" s="63">
        <v>7.0000000000000007E-2</v>
      </c>
      <c r="K6" s="970">
        <f>SUMIF('数据-汇总表'!C$19:C$33,A6,'数据-汇总表'!E$19:E$33)</f>
        <v>85571.080000000016</v>
      </c>
      <c r="L6" s="692">
        <v>3800</v>
      </c>
      <c r="M6" s="64">
        <f t="shared" ref="M6:M14" si="0">ROUND(K6*L6/10000,0)</f>
        <v>32517</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1">
        <v>1000</v>
      </c>
      <c r="V6" s="67">
        <v>0.02</v>
      </c>
      <c r="W6" s="67">
        <v>0.1</v>
      </c>
      <c r="X6" s="979"/>
      <c r="Y6" s="68">
        <f>N6</f>
        <v>1</v>
      </c>
      <c r="Z6" s="69"/>
      <c r="AA6" s="63"/>
      <c r="AB6" s="63"/>
      <c r="AC6" s="979"/>
      <c r="AD6" s="70"/>
      <c r="AE6" s="980">
        <f ca="1">IF(AN6="",0,SUMIF(INDIRECT("'"&amp;AN6&amp;"'"&amp;"!E:E"),$AE$5,INDIRECT("'"&amp;AN6&amp;"'"&amp;"!F:F")))</f>
        <v>65.61</v>
      </c>
      <c r="AF6" s="74"/>
      <c r="AG6" s="130">
        <f>IF(AF6="",0,AE6-AF6)</f>
        <v>0</v>
      </c>
      <c r="AH6" s="71"/>
      <c r="AI6" s="73">
        <v>12</v>
      </c>
      <c r="AJ6" s="74"/>
      <c r="AK6" s="75">
        <v>0.01</v>
      </c>
      <c r="AL6" s="76">
        <v>1E-3</v>
      </c>
      <c r="AM6" s="77">
        <v>0.01</v>
      </c>
      <c r="AN6" s="1588" t="s">
        <v>3423</v>
      </c>
      <c r="AO6" s="50">
        <f ca="1">SUMIF(INDIRECT("'"&amp;AN6&amp;"'"&amp;"!A:A"),"总价",INDIRECT("'"&amp;AN6&amp;"'"&amp;"!B:B"))</f>
        <v>2142176</v>
      </c>
      <c r="AP6" s="1589">
        <f>IF(C6="住宅",K6*L6,0)</f>
        <v>325170104.00000006</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商业-配套</v>
      </c>
      <c r="B7" s="1586" t="str">
        <f t="shared" ref="B7:B13" si="1">IF(A7=0,"","经营性")</f>
        <v>经营性</v>
      </c>
      <c r="C7" s="1587" t="s">
        <v>667</v>
      </c>
      <c r="D7" s="805">
        <f>SUMIF(项目基本情况!C$12:I$12,C7,项目基本情况!C$14:I$14)</f>
        <v>40</v>
      </c>
      <c r="E7" s="804">
        <f>IF(B7="","",SUMIF(项目基本情况!C$12:I$12,C7,项目基本情况!C$13:I$13))</f>
        <v>58281</v>
      </c>
      <c r="F7" s="61">
        <f>SUMIF(项目基本情况!C$12:I$12,C7,项目基本情况!C$15:I$15)</f>
        <v>35.58</v>
      </c>
      <c r="G7" s="62">
        <f t="shared" ref="G7:G11" si="2">IF(ISERROR(ROUND(POWER(1+H7,D7-F7)*(POWER(1+H7,F7)-1)/(POWER(1+H7,D7)-1),3)),0,ROUND(POWER(1+H7,D7-F7)*(POWER(1+H7,F7)-1)/(POWER(1+H7,D7)-1),3))</f>
        <v>0.96</v>
      </c>
      <c r="H7" s="691">
        <v>0.05</v>
      </c>
      <c r="I7" s="691">
        <v>5.5E-2</v>
      </c>
      <c r="J7" s="63">
        <v>7.0000000000000007E-2</v>
      </c>
      <c r="K7" s="970">
        <f>SUMIF('数据-汇总表'!C$19:C$33,A7,'数据-汇总表'!E$19:E$33)</f>
        <v>625.88</v>
      </c>
      <c r="L7" s="692">
        <f>L6</f>
        <v>3800</v>
      </c>
      <c r="M7" s="64">
        <f t="shared" si="0"/>
        <v>238</v>
      </c>
      <c r="N7" s="690">
        <f>N6</f>
        <v>1</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v>1.5</v>
      </c>
      <c r="V7" s="67">
        <v>0.02</v>
      </c>
      <c r="W7" s="67">
        <v>0.1</v>
      </c>
      <c r="X7" s="979"/>
      <c r="Y7" s="68">
        <f>N7</f>
        <v>1</v>
      </c>
      <c r="Z7" s="69"/>
      <c r="AA7" s="63"/>
      <c r="AB7" s="63"/>
      <c r="AC7" s="979"/>
      <c r="AD7" s="70"/>
      <c r="AE7" s="980">
        <f t="shared" ref="AE7:AE13" ca="1" si="6">IF(AN7="",0,SUMIF(INDIRECT("'"&amp;AN7&amp;"'"&amp;"!E:E"),$AE$5,INDIRECT("'"&amp;AN7&amp;"'"&amp;"!F:F")))</f>
        <v>35.58</v>
      </c>
      <c r="AF7" s="74"/>
      <c r="AG7" s="130">
        <f t="shared" ref="AG7:AG13" si="7">IF(AF7="",0,AE7-AF7)</f>
        <v>0</v>
      </c>
      <c r="AH7" s="71"/>
      <c r="AI7" s="73">
        <v>365</v>
      </c>
      <c r="AJ7" s="74"/>
      <c r="AK7" s="75">
        <v>8.0000000000000002E-3</v>
      </c>
      <c r="AL7" s="76">
        <v>1E-3</v>
      </c>
      <c r="AM7" s="77">
        <v>0.01</v>
      </c>
      <c r="AN7" s="1588" t="s">
        <v>4149</v>
      </c>
      <c r="AO7" s="50">
        <f t="shared" ref="AO7:AO13" ca="1" si="8">SUMIF(INDIRECT("'"&amp;AN7&amp;"'"&amp;"!A:A"),"总价",INDIRECT("'"&amp;AN7&amp;"'"&amp;"!B:B"))</f>
        <v>450</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v>60</v>
      </c>
      <c r="V8" s="694">
        <v>1.4999999999999999E-2</v>
      </c>
      <c r="W8" s="694">
        <v>0.1</v>
      </c>
      <c r="X8" s="979"/>
      <c r="Y8" s="68">
        <f>N8</f>
        <v>0</v>
      </c>
      <c r="Z8" s="69"/>
      <c r="AA8" s="63"/>
      <c r="AB8" s="63"/>
      <c r="AC8" s="979"/>
      <c r="AD8" s="70"/>
      <c r="AE8" s="980" t="e">
        <f t="shared" ca="1" si="6"/>
        <v>#N/A</v>
      </c>
      <c r="AF8" s="74"/>
      <c r="AG8" s="130">
        <f t="shared" si="7"/>
        <v>0</v>
      </c>
      <c r="AH8" s="695">
        <v>217</v>
      </c>
      <c r="AI8" s="73">
        <v>12</v>
      </c>
      <c r="AJ8" s="74"/>
      <c r="AK8" s="696">
        <v>5.0000000000000001E-3</v>
      </c>
      <c r="AL8" s="697">
        <v>1E-3</v>
      </c>
      <c r="AM8" s="106">
        <v>5.0000000000000001E-3</v>
      </c>
      <c r="AN8" s="1588" t="s">
        <v>4158</v>
      </c>
      <c r="AO8" s="50" t="e">
        <f t="shared" ca="1" si="8"/>
        <v>#N/A</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1199</v>
      </c>
      <c r="B14" s="1586" t="s">
        <v>1200</v>
      </c>
      <c r="C14" s="1591" t="s">
        <v>1199</v>
      </c>
      <c r="D14" s="805"/>
      <c r="E14" s="804"/>
      <c r="F14" s="61"/>
      <c r="G14" s="62"/>
      <c r="H14" s="969"/>
      <c r="I14" s="969"/>
      <c r="J14" s="969"/>
      <c r="K14" s="970">
        <f>SUMIF('数据-汇总表'!C$19:C$33,A14,'数据-汇总表'!E$19:E$33)</f>
        <v>0</v>
      </c>
      <c r="L14" s="79">
        <f>L6</f>
        <v>3800</v>
      </c>
      <c r="M14" s="64">
        <f t="shared" si="0"/>
        <v>0</v>
      </c>
      <c r="N14" s="80">
        <f>N6</f>
        <v>1</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3"/>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1201</v>
      </c>
      <c r="B15" s="1586" t="s">
        <v>1200</v>
      </c>
      <c r="C15" s="1591" t="s">
        <v>1202</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3"/>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1203</v>
      </c>
      <c r="B16" s="82"/>
      <c r="C16" s="783"/>
      <c r="D16" s="1593"/>
      <c r="E16" s="82"/>
      <c r="F16" s="82"/>
      <c r="G16" s="83">
        <f>ROUND(SUMPRODUCT(G6:G13,K6:K13)/SUMPRODUCT((G6:G13&gt;0)*(K6:K13)),3)</f>
        <v>0.99</v>
      </c>
      <c r="H16" s="84">
        <f>ROUND(SUMPRODUCT(H6:H13,K6:K13)/SUMPRODUCT((H6:H13&gt;0)*(K6:K13)),3)</f>
        <v>4.4999999999999998E-2</v>
      </c>
      <c r="I16" s="85"/>
      <c r="J16" s="85"/>
      <c r="K16" s="86">
        <f>SUM(K6:K15)</f>
        <v>86196.960000000021</v>
      </c>
      <c r="L16" s="87">
        <f>ROUND(M16*10000/SUM(K6:K14),0)</f>
        <v>3800</v>
      </c>
      <c r="M16" s="87">
        <f>SUM(M6:M14)</f>
        <v>32755</v>
      </c>
      <c r="N16" s="88">
        <f>ROUND(SUMPRODUCT(M6:M14,N6:N14)/M16,3)</f>
        <v>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1204</v>
      </c>
      <c r="B18" s="2455"/>
      <c r="C18" s="2434"/>
      <c r="D18" s="2446"/>
      <c r="E18" s="2434"/>
      <c r="F18" s="2434"/>
      <c r="G18" s="2434"/>
      <c r="H18" s="2434"/>
      <c r="I18" s="2434"/>
      <c r="J18" s="2434"/>
      <c r="K18" s="2444"/>
      <c r="L18" s="2444"/>
      <c r="M18" s="2443"/>
      <c r="N18" s="2443">
        <v>2023</v>
      </c>
      <c r="O18" s="2443"/>
      <c r="P18" s="2443"/>
      <c r="Q18" s="2443">
        <f>Q6/B20</f>
        <v>7.4999999999999997E-2</v>
      </c>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5" t="s">
        <v>1205</v>
      </c>
      <c r="B19" s="97">
        <v>0</v>
      </c>
      <c r="C19" s="2555" t="s">
        <v>2299</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f>K8/AH8</f>
        <v>0</v>
      </c>
      <c r="AI19" s="2443"/>
      <c r="AJ19" s="2443"/>
      <c r="AK19" s="2443"/>
      <c r="AL19" s="2443"/>
      <c r="AM19" s="2443"/>
      <c r="AN19" s="2443"/>
      <c r="AO19" s="2443"/>
      <c r="AP19" s="2443"/>
      <c r="AQ19" s="2443"/>
      <c r="AR19" s="2443"/>
    </row>
    <row r="20" spans="1:44" ht="14.25">
      <c r="A20" s="1596" t="s">
        <v>1206</v>
      </c>
      <c r="B20" s="98">
        <v>2</v>
      </c>
      <c r="C20" s="2556" t="s">
        <v>2297</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7" t="s">
        <v>1207</v>
      </c>
      <c r="B21" s="98">
        <v>2</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6" t="s">
        <v>1208</v>
      </c>
      <c r="B22" s="99">
        <f>B19+B20</f>
        <v>2</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7" t="s">
        <v>1209</v>
      </c>
      <c r="B23" s="99">
        <f>B19+B21</f>
        <v>2</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1210</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8"/>
      <c r="B25" s="1541"/>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1211</v>
      </c>
      <c r="B26" s="1599" t="s">
        <v>1212</v>
      </c>
      <c r="C26" s="2447" t="s">
        <v>1213</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600" t="s">
        <v>1214</v>
      </c>
      <c r="B27" s="101">
        <v>120</v>
      </c>
      <c r="C27" s="2557" t="s">
        <v>2301</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1" t="s">
        <v>1215</v>
      </c>
      <c r="B28" s="103">
        <v>160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2" t="s">
        <v>1216</v>
      </c>
      <c r="B29" s="105">
        <f ca="1">成本法!C8</f>
        <v>1027</v>
      </c>
      <c r="C29" s="2558" t="s">
        <v>2288</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3" t="s">
        <v>1217</v>
      </c>
      <c r="B30" s="638">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1" t="s">
        <v>1218</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4" t="s">
        <v>1219</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600" t="s">
        <v>1220</v>
      </c>
      <c r="B33" s="640">
        <v>0.03</v>
      </c>
      <c r="C33" s="2559" t="s">
        <v>2289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1" t="s">
        <v>1221</v>
      </c>
      <c r="B34" s="106">
        <v>0.1</v>
      </c>
      <c r="C34" s="2559" t="s">
        <v>2290</v>
      </c>
      <c r="D34" s="2454" t="s">
        <v>2298</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1" t="s">
        <v>1222</v>
      </c>
      <c r="B35" s="103">
        <v>200</v>
      </c>
      <c r="C35" s="2559" t="s">
        <v>2291</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1223</v>
      </c>
      <c r="B36" s="107">
        <v>1.4999999999999999E-2</v>
      </c>
      <c r="C36" s="2559" t="s">
        <v>2292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3" t="s">
        <v>1224</v>
      </c>
      <c r="B37" s="108">
        <v>0.03</v>
      </c>
      <c r="C37" s="2559" t="s">
        <v>2293</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1" t="s">
        <v>1225</v>
      </c>
      <c r="B38" s="106">
        <v>0.03</v>
      </c>
      <c r="C38" s="2559" t="s">
        <v>2293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4" t="s">
        <v>1226</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2308</v>
      </c>
      <c r="B40" s="1015">
        <f ca="1">IF(A40="利息：取LPR",存贷款利率!G1,存贷款利率!G1+C40)</f>
        <v>3.4500000000000003E-2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600" t="s">
        <v>1227</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5" t="s">
        <v>1228</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5" t="s">
        <v>1229</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6" t="s">
        <v>1230</v>
      </c>
      <c r="B44" s="112">
        <v>7.0000000000000007E-2</v>
      </c>
      <c r="C44" s="2559" t="s">
        <v>2302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6" t="s">
        <v>1231</v>
      </c>
      <c r="B45" s="110">
        <v>0.03</v>
      </c>
      <c r="C45" s="2558" t="s">
        <v>2294</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6" t="s">
        <v>1232</v>
      </c>
      <c r="B46" s="110">
        <v>0.02</v>
      </c>
      <c r="C46" s="2558" t="s">
        <v>2295</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1233</v>
      </c>
      <c r="B47" s="113"/>
      <c r="C47" s="2561" t="s">
        <v>2303</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8" t="s">
        <v>1234</v>
      </c>
      <c r="B48" s="114">
        <v>0.04</v>
      </c>
      <c r="C48" s="2558" t="s">
        <v>2294</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1235</v>
      </c>
      <c r="B49" s="110">
        <v>5.0000000000000001E-4</v>
      </c>
      <c r="C49" s="2558" t="s">
        <v>2296</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9" t="s">
        <v>1236</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1237</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9" t="s">
        <v>1238</v>
      </c>
      <c r="B52" s="117">
        <f>SUMIF(A54:A63,B53,B54:B63)</f>
        <v>0</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1" t="s">
        <v>1239</v>
      </c>
      <c r="B53" s="1610"/>
      <c r="C53" s="2435" t="s">
        <v>1240</v>
      </c>
      <c r="D53" s="2560" t="s">
        <v>2300</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1" t="s">
        <v>1241</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1" t="s">
        <v>1242</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1" t="s">
        <v>1243</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1" t="s">
        <v>1244</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1" t="s">
        <v>1245</v>
      </c>
      <c r="B58" s="72"/>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1" t="s">
        <v>1246</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1" t="s">
        <v>1247</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1" t="s">
        <v>1248</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1" t="s">
        <v>1249</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1250</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65" t="str">
        <f>项目基本情况!B1</f>
        <v>河北省张家口市下花园区110国道北侧“京北金茂悦”项目房地产市场价值预评估</v>
      </c>
      <c r="C37" s="3265"/>
      <c r="D37" s="3265"/>
      <c r="E37" s="3265"/>
      <c r="F37" s="3265"/>
      <c r="G37" s="3265"/>
      <c r="H37" s="3265"/>
      <c r="I37" s="3265"/>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4" customFormat="1" ht="18.75" thickBot="1">
      <c r="A1" s="3363" t="s">
        <v>2280</v>
      </c>
      <c r="B1" s="3364"/>
      <c r="C1" s="3364"/>
      <c r="D1" s="3364"/>
      <c r="E1" s="3364"/>
      <c r="F1" s="3364"/>
      <c r="G1" s="3364"/>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4"/>
      <c r="E2" s="2255"/>
      <c r="F2" s="2258"/>
      <c r="G2" s="2257" t="s">
        <v>2276</v>
      </c>
      <c r="H2" s="751"/>
      <c r="I2" s="751"/>
      <c r="J2" s="751"/>
      <c r="K2" s="751"/>
      <c r="L2" s="751"/>
      <c r="M2" s="751"/>
      <c r="N2" s="751"/>
      <c r="O2" s="751"/>
      <c r="P2" s="751"/>
      <c r="Q2" s="751"/>
    </row>
    <row r="3" spans="1:29" ht="48">
      <c r="A3" s="2242" t="s">
        <v>2277</v>
      </c>
      <c r="B3" s="2259" t="s">
        <v>2246</v>
      </c>
      <c r="C3" s="2260" t="s">
        <v>2278</v>
      </c>
      <c r="D3" s="2261"/>
      <c r="E3" s="2243" t="s">
        <v>2277</v>
      </c>
      <c r="F3" s="2262" t="s">
        <v>2247</v>
      </c>
      <c r="G3" s="2263" t="s">
        <v>2279</v>
      </c>
      <c r="H3" s="751"/>
      <c r="I3" s="751"/>
      <c r="J3" s="751"/>
      <c r="K3" s="751"/>
      <c r="L3" s="751"/>
      <c r="M3" s="751"/>
      <c r="N3" s="751"/>
      <c r="O3" s="751"/>
      <c r="P3" s="751"/>
      <c r="Q3" s="751"/>
    </row>
    <row r="4" spans="1:29" ht="36.75">
      <c r="A4" s="2243"/>
      <c r="B4" s="315" t="s">
        <v>2248</v>
      </c>
      <c r="C4" s="2264" t="s">
        <v>2249</v>
      </c>
      <c r="D4" s="2261"/>
      <c r="E4" s="2265"/>
      <c r="F4" s="1280" t="s">
        <v>2250</v>
      </c>
      <c r="G4" s="2266" t="s">
        <v>2251</v>
      </c>
      <c r="H4" s="751"/>
      <c r="I4" s="751"/>
      <c r="J4" s="751"/>
      <c r="K4" s="751"/>
      <c r="L4" s="751"/>
      <c r="M4" s="751"/>
      <c r="N4" s="751"/>
      <c r="O4" s="751"/>
      <c r="P4" s="751"/>
      <c r="Q4" s="751"/>
    </row>
    <row r="5" spans="1:29" ht="36.75">
      <c r="A5" s="2243"/>
      <c r="B5" s="315" t="s">
        <v>2252</v>
      </c>
      <c r="C5" s="2264" t="s">
        <v>2253</v>
      </c>
      <c r="D5" s="2261"/>
      <c r="E5" s="2265"/>
      <c r="F5" s="315" t="s">
        <v>2254</v>
      </c>
      <c r="G5" s="2266" t="s">
        <v>2255</v>
      </c>
      <c r="H5" s="751"/>
      <c r="I5" s="751"/>
      <c r="J5" s="751"/>
      <c r="K5" s="751"/>
      <c r="L5" s="751"/>
      <c r="M5" s="751"/>
      <c r="N5" s="751"/>
      <c r="O5" s="751"/>
      <c r="P5" s="751"/>
      <c r="Q5" s="751"/>
    </row>
    <row r="6" spans="1:29" ht="36">
      <c r="A6" s="2243"/>
      <c r="B6" s="315" t="s">
        <v>2256</v>
      </c>
      <c r="C6" s="2266" t="s">
        <v>2251</v>
      </c>
      <c r="D6" s="2261"/>
      <c r="E6" s="2265"/>
      <c r="F6" s="315" t="s">
        <v>2257</v>
      </c>
      <c r="G6" s="2266" t="s">
        <v>2258</v>
      </c>
      <c r="H6" s="751"/>
      <c r="I6" s="751"/>
      <c r="J6" s="751"/>
      <c r="K6" s="751"/>
      <c r="L6" s="751"/>
      <c r="M6" s="751"/>
      <c r="N6" s="751"/>
      <c r="O6" s="751"/>
      <c r="P6" s="751"/>
      <c r="Q6" s="751"/>
    </row>
    <row r="7" spans="1:29" ht="24.75" thickBot="1">
      <c r="A7" s="2243"/>
      <c r="B7" s="315" t="s">
        <v>2254</v>
      </c>
      <c r="C7" s="2266" t="s">
        <v>2255</v>
      </c>
      <c r="D7" s="2240"/>
      <c r="E7" s="2267"/>
      <c r="F7" s="2268" t="s">
        <v>2259</v>
      </c>
      <c r="G7" s="2269" t="s">
        <v>2260</v>
      </c>
      <c r="H7" s="751"/>
      <c r="I7" s="751"/>
      <c r="J7" s="751"/>
      <c r="K7" s="751"/>
      <c r="L7" s="751"/>
      <c r="M7" s="751"/>
      <c r="N7" s="751"/>
      <c r="O7" s="751"/>
      <c r="P7" s="751"/>
      <c r="Q7" s="751"/>
    </row>
    <row r="8" spans="1:29">
      <c r="A8" s="2243"/>
      <c r="B8" s="315" t="s">
        <v>2257</v>
      </c>
      <c r="C8" s="2266" t="s">
        <v>2258</v>
      </c>
      <c r="D8" s="2240"/>
      <c r="E8" s="2240"/>
      <c r="F8" s="121"/>
      <c r="G8" s="121"/>
      <c r="H8" s="751"/>
      <c r="I8" s="751"/>
      <c r="J8" s="751"/>
      <c r="K8" s="751"/>
      <c r="L8" s="751"/>
      <c r="M8" s="751"/>
      <c r="N8" s="751"/>
      <c r="O8" s="751"/>
      <c r="P8" s="751"/>
      <c r="Q8" s="751"/>
    </row>
    <row r="9" spans="1:29" ht="24">
      <c r="A9" s="2243"/>
      <c r="B9" s="315" t="s">
        <v>2261</v>
      </c>
      <c r="C9" s="2264" t="s">
        <v>2262</v>
      </c>
      <c r="D9" s="2261"/>
      <c r="E9" s="2240"/>
      <c r="F9" s="121"/>
      <c r="G9" s="121"/>
      <c r="H9" s="751"/>
      <c r="I9" s="751"/>
      <c r="J9" s="751"/>
      <c r="K9" s="751"/>
      <c r="L9" s="751"/>
      <c r="M9" s="751"/>
      <c r="N9" s="751"/>
      <c r="O9" s="751"/>
      <c r="P9" s="751"/>
      <c r="Q9" s="751"/>
    </row>
    <row r="10" spans="1:29" ht="15" thickBot="1">
      <c r="A10" s="2244"/>
      <c r="B10" s="2270" t="s">
        <v>2263</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2281</v>
      </c>
      <c r="B13" s="2275"/>
      <c r="C13" s="2275"/>
      <c r="D13" s="2274"/>
      <c r="E13" s="2275"/>
      <c r="F13" s="2275"/>
      <c r="G13" s="2275"/>
    </row>
    <row r="14" spans="1:29" ht="15" thickBot="1">
      <c r="A14" s="2280"/>
      <c r="B14" s="2280"/>
      <c r="C14" s="2281" t="s">
        <v>2264</v>
      </c>
      <c r="D14" s="2261"/>
      <c r="E14" s="2282"/>
      <c r="F14" s="2282"/>
      <c r="G14" s="2257" t="s">
        <v>2265</v>
      </c>
    </row>
    <row r="15" spans="1:29" ht="51">
      <c r="A15" s="2245" t="s">
        <v>2266</v>
      </c>
      <c r="B15" s="2283" t="s">
        <v>2246</v>
      </c>
      <c r="C15" s="2284" t="str">
        <f>C3</f>
        <v>估价对象周边居住用地比例、居住小区规模和社区发展完善程度，综合评价居住社区成熟度一般</v>
      </c>
      <c r="D15" s="2261"/>
      <c r="E15" s="2246" t="s">
        <v>2267</v>
      </c>
      <c r="F15" s="2283" t="s">
        <v>2268</v>
      </c>
      <c r="G15" s="2285" t="str">
        <f>G3</f>
        <v>估价对象位于XX开发区，园区建设成熟度XX，产业集聚程度XX</v>
      </c>
    </row>
    <row r="16" spans="1:29" ht="38.25">
      <c r="A16" s="2247"/>
      <c r="B16" s="2286" t="s">
        <v>2248</v>
      </c>
      <c r="C16" s="2287" t="str">
        <f>C4</f>
        <v>估价对象位于XX商圈，周边商业氛围成熟，人流量大，商业繁华度好</v>
      </c>
      <c r="D16" s="2261"/>
      <c r="E16" s="2248"/>
      <c r="F16" s="2288" t="s">
        <v>2250</v>
      </c>
      <c r="G16" s="2289" t="str">
        <f>G4</f>
        <v>估价对象周边道路状况、公共交通通达情况、停车便捷程度，综合评价交通便捷度较好</v>
      </c>
    </row>
    <row r="17" spans="1:17" ht="38.25">
      <c r="A17" s="2247"/>
      <c r="B17" s="2286" t="s">
        <v>2252</v>
      </c>
      <c r="C17" s="2287" t="str">
        <f>C5</f>
        <v>估价对象位于XX商圈，周边办公楼项目较多，入驻率高，办公集聚程度较好</v>
      </c>
      <c r="D17" s="2240"/>
      <c r="E17" s="2248"/>
      <c r="F17" s="2288" t="s">
        <v>2269</v>
      </c>
      <c r="G17" s="2290"/>
    </row>
    <row r="18" spans="1:17" ht="38.25">
      <c r="A18" s="2247"/>
      <c r="B18" s="2288" t="s">
        <v>2256</v>
      </c>
      <c r="C18" s="2289" t="str">
        <f>C6</f>
        <v>估价对象周边道路状况、公共交通通达情况、停车便捷程度，综合评价交通便捷度较好</v>
      </c>
      <c r="D18" s="2240"/>
      <c r="E18" s="2248"/>
      <c r="F18" s="2288" t="s">
        <v>2259</v>
      </c>
      <c r="G18" s="2289" t="str">
        <f>G7</f>
        <v>该园区内是否有污染型企业，绿化情况，卫生条件，整体环境状况判断</v>
      </c>
    </row>
    <row r="19" spans="1:17" ht="25.5">
      <c r="A19" s="2247"/>
      <c r="B19" s="2288" t="s">
        <v>2270</v>
      </c>
      <c r="C19" s="2290"/>
      <c r="D19" s="2261"/>
      <c r="E19" s="2248"/>
      <c r="F19" s="315" t="s">
        <v>2254</v>
      </c>
      <c r="G19" s="2289" t="str">
        <f>G5</f>
        <v>估价对象所在区域公共配套设施齐备情况</v>
      </c>
    </row>
    <row r="20" spans="1:17" ht="25.5">
      <c r="A20" s="2247"/>
      <c r="B20" s="2288" t="s">
        <v>2271</v>
      </c>
      <c r="C20" s="2287" t="str">
        <f>C9</f>
        <v>区域自然环境：；人文环境；综合评价环境状况一般</v>
      </c>
      <c r="D20" s="2240"/>
      <c r="E20" s="2248"/>
      <c r="F20" s="315" t="s">
        <v>2257</v>
      </c>
      <c r="G20" s="2289" t="str">
        <f>G6</f>
        <v>估价对象所在区域基础设施水平</v>
      </c>
    </row>
    <row r="21" spans="1:17" ht="25.5">
      <c r="A21" s="2247"/>
      <c r="B21" s="315" t="s">
        <v>2254</v>
      </c>
      <c r="C21" s="2289" t="str">
        <f>C7</f>
        <v>估价对象所在区域公共配套设施齐备情况</v>
      </c>
      <c r="D21" s="2261"/>
      <c r="E21" s="2248"/>
      <c r="F21" s="2288" t="s">
        <v>2272</v>
      </c>
      <c r="G21" s="2291"/>
    </row>
    <row r="22" spans="1:17" ht="13.5" customHeight="1">
      <c r="A22" s="2247"/>
      <c r="B22" s="315" t="s">
        <v>2257</v>
      </c>
      <c r="C22" s="2289" t="str">
        <f>C8</f>
        <v>估价对象所在区域基础设施水平</v>
      </c>
      <c r="D22" s="2261"/>
      <c r="E22" s="2248"/>
      <c r="F22" s="2288" t="s">
        <v>2263</v>
      </c>
      <c r="G22" s="2290"/>
    </row>
    <row r="23" spans="1:17" s="751" customFormat="1" ht="15" thickBot="1">
      <c r="A23" s="2247"/>
      <c r="B23" s="2288" t="s">
        <v>2272</v>
      </c>
      <c r="C23" s="2291"/>
      <c r="D23" s="1613"/>
      <c r="E23" s="2249"/>
      <c r="F23" s="2292" t="s">
        <v>2273</v>
      </c>
      <c r="G23" s="2293"/>
      <c r="H23" s="2272"/>
      <c r="I23" s="2272"/>
      <c r="J23" s="2272"/>
      <c r="K23" s="2272"/>
      <c r="L23" s="2272"/>
      <c r="M23" s="2272"/>
      <c r="N23" s="2272"/>
      <c r="O23" s="2272"/>
      <c r="P23" s="2272"/>
      <c r="Q23" s="2272"/>
    </row>
    <row r="24" spans="1:17" s="751" customFormat="1" ht="15" thickBot="1">
      <c r="A24" s="2250"/>
      <c r="B24" s="2292" t="s">
        <v>2274</v>
      </c>
      <c r="C24" s="2294">
        <f>C10</f>
        <v>0</v>
      </c>
      <c r="D24" s="1613"/>
      <c r="E24" s="2240"/>
      <c r="F24" s="2240"/>
      <c r="G24" s="2240"/>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Normal="80" zoomScaleSheetLayoutView="100" workbookViewId="0">
      <selection activeCell="D18" sqref="D18"/>
    </sheetView>
  </sheetViews>
  <sheetFormatPr defaultColWidth="9" defaultRowHeight="13.5"/>
  <cols>
    <col min="1" max="1" width="25" style="2296" customWidth="1"/>
    <col min="2" max="9" width="15.75" style="2296" customWidth="1"/>
    <col min="10" max="16384" width="9" style="2296"/>
  </cols>
  <sheetData>
    <row r="1" spans="1:12" ht="16.5">
      <c r="A1" s="2295" t="s">
        <v>659</v>
      </c>
      <c r="B1" s="2295">
        <f>SUM(B14:B23)</f>
        <v>490242.65</v>
      </c>
      <c r="C1" s="2456"/>
      <c r="D1" s="2456"/>
      <c r="E1" s="2456"/>
      <c r="F1" s="2456"/>
      <c r="G1" s="2457"/>
      <c r="H1" s="2457"/>
      <c r="I1" s="2457"/>
      <c r="J1" s="2457"/>
      <c r="K1" s="2457"/>
    </row>
    <row r="2" spans="1:12" ht="16.5">
      <c r="A2" s="2295" t="s">
        <v>647</v>
      </c>
      <c r="B2" s="2295">
        <f>SUM(C14:C23)</f>
        <v>182275.22</v>
      </c>
      <c r="C2" s="2456"/>
      <c r="D2" s="2456"/>
      <c r="E2" s="2456"/>
      <c r="F2" s="2456"/>
      <c r="G2" s="2457"/>
      <c r="H2" s="2457"/>
      <c r="I2" s="2457"/>
      <c r="J2" s="2457"/>
      <c r="K2" s="2457"/>
    </row>
    <row r="3" spans="1:12" ht="16.5">
      <c r="A3" s="2295" t="s">
        <v>656</v>
      </c>
      <c r="B3" s="2297">
        <f>项目基本情况!D3</f>
        <v>45291</v>
      </c>
      <c r="C3" s="2456"/>
      <c r="D3" s="2456"/>
      <c r="E3" s="2456"/>
      <c r="F3" s="2456"/>
      <c r="G3" s="2457"/>
      <c r="H3" s="2457"/>
      <c r="I3" s="2457"/>
      <c r="J3" s="2457"/>
      <c r="K3" s="2457"/>
    </row>
    <row r="4" spans="1:12" ht="33">
      <c r="A4" s="2295" t="s">
        <v>655</v>
      </c>
      <c r="B4" s="2295" t="s">
        <v>654</v>
      </c>
      <c r="C4" s="2295" t="s">
        <v>653</v>
      </c>
      <c r="D4" s="2295" t="s">
        <v>652</v>
      </c>
      <c r="E4" s="2456"/>
      <c r="F4" s="2457"/>
      <c r="G4" s="2457"/>
      <c r="H4" s="2457"/>
      <c r="I4" s="2457"/>
      <c r="J4" s="2457"/>
      <c r="K4" s="2457"/>
    </row>
    <row r="5" spans="1:12" ht="16.5">
      <c r="A5" s="2295" t="s">
        <v>651</v>
      </c>
      <c r="B5" s="2295">
        <f ca="1">SUM(D14:D23)</f>
        <v>102492</v>
      </c>
      <c r="C5" s="2295">
        <f ca="1">IF(B5=D14,结果表!H102,ROUND(B5*10000/$B$1,0))</f>
        <v>2091</v>
      </c>
      <c r="D5" s="2295">
        <f ca="1">ROUND(B5*10000/$B$2,0)</f>
        <v>5623</v>
      </c>
      <c r="E5" s="2456"/>
      <c r="F5" s="2457"/>
      <c r="G5" s="2457"/>
      <c r="H5" s="2457"/>
      <c r="I5" s="2457"/>
      <c r="J5" s="2457"/>
      <c r="K5" s="2457"/>
    </row>
    <row r="6" spans="1:12" ht="16.5">
      <c r="A6" s="2295" t="s">
        <v>650</v>
      </c>
      <c r="B6" s="2295">
        <f>SUM(G14:G23)</f>
        <v>0</v>
      </c>
      <c r="C6" s="2295">
        <f ca="1">IF(B6=G14,结果表!H108,ROUND(B6*10000/$B$1,0))</f>
        <v>8600</v>
      </c>
      <c r="D6" s="2295">
        <f>ROUND(B6*10000/$B$2,0)</f>
        <v>0</v>
      </c>
      <c r="E6" s="2456"/>
      <c r="F6" s="2457"/>
      <c r="G6" s="2457"/>
      <c r="H6" s="2457"/>
      <c r="I6" s="2457"/>
      <c r="J6" s="2457"/>
      <c r="K6" s="2457"/>
    </row>
    <row r="7" spans="1:12" ht="16.5">
      <c r="A7" s="2295" t="s">
        <v>658</v>
      </c>
      <c r="B7" s="2295">
        <f>SUM(H14:H23)</f>
        <v>0</v>
      </c>
      <c r="C7" s="2295" t="str">
        <f>IF(B7=H14,结果表!H110,ROUND(B7*10000/$B$1,0))</f>
        <v>——</v>
      </c>
      <c r="D7" s="2295">
        <f>ROUND(B7*10000/$B$2,0)</f>
        <v>0</v>
      </c>
      <c r="E7" s="2456"/>
      <c r="F7" s="2457"/>
      <c r="G7" s="2457"/>
      <c r="H7" s="2457"/>
      <c r="I7" s="2457"/>
      <c r="J7" s="2457"/>
      <c r="K7" s="2457"/>
    </row>
    <row r="8" spans="1:12" ht="16.5">
      <c r="A8" s="2295" t="s">
        <v>587</v>
      </c>
      <c r="B8" s="2295">
        <f>SUM(I14:I23)</f>
        <v>0</v>
      </c>
      <c r="C8" s="2295" t="str">
        <f>IF(B8=I14,结果表!H112,ROUND(B8*10000/$B$1,0))</f>
        <v>——</v>
      </c>
      <c r="D8" s="2295">
        <f>ROUND(B8*10000/$B$2,0)</f>
        <v>0</v>
      </c>
      <c r="E8" s="2456"/>
      <c r="F8" s="2457"/>
      <c r="G8" s="2457"/>
      <c r="H8" s="2457"/>
      <c r="I8" s="2457"/>
      <c r="J8" s="2457"/>
      <c r="K8" s="2457"/>
    </row>
    <row r="9" spans="1:12" ht="16.5">
      <c r="A9" s="2295" t="s">
        <v>649</v>
      </c>
      <c r="B9" s="1243"/>
      <c r="C9" s="2456"/>
      <c r="D9" s="2456"/>
      <c r="E9" s="2456"/>
      <c r="F9" s="2457"/>
      <c r="G9" s="2457"/>
      <c r="H9" s="2457"/>
      <c r="I9" s="2457"/>
      <c r="J9" s="2457"/>
      <c r="K9" s="2457"/>
    </row>
    <row r="10" spans="1:12" ht="16.5">
      <c r="A10" s="2295" t="s">
        <v>648</v>
      </c>
      <c r="B10" s="2295">
        <f>IF(E10="",0,ROUND(B1*(E10*365/G10)/10000,0))</f>
        <v>0</v>
      </c>
      <c r="C10" s="2295" t="s">
        <v>3354</v>
      </c>
      <c r="D10" s="2295" t="s">
        <v>3355</v>
      </c>
      <c r="E10" s="3131"/>
      <c r="F10" s="3135" t="s">
        <v>3356</v>
      </c>
      <c r="G10" s="3132"/>
      <c r="H10" s="2457"/>
      <c r="I10" s="2457"/>
      <c r="J10" s="2457"/>
      <c r="K10" s="2457"/>
    </row>
    <row r="11" spans="1:12" ht="16.5">
      <c r="A11" s="2295" t="s">
        <v>664</v>
      </c>
      <c r="B11" s="1243"/>
      <c r="C11" s="2456"/>
      <c r="D11" s="2456"/>
      <c r="E11" s="2456"/>
      <c r="F11" s="2457"/>
      <c r="G11" s="2457"/>
      <c r="H11" s="2457"/>
      <c r="I11" s="2457"/>
      <c r="J11" s="2457"/>
      <c r="K11" s="2457"/>
    </row>
    <row r="12" spans="1:12" ht="16.5">
      <c r="A12" s="2456"/>
      <c r="B12" s="2456"/>
      <c r="C12" s="2456"/>
      <c r="D12" s="2456"/>
      <c r="E12" s="2456"/>
      <c r="F12" s="2457"/>
      <c r="G12" s="2457"/>
      <c r="H12" s="2457"/>
      <c r="I12" s="2457"/>
      <c r="J12" s="2457">
        <f>J14+J15+J16+J17+J18</f>
        <v>114977.91</v>
      </c>
      <c r="K12" s="2457"/>
    </row>
    <row r="13" spans="1:12" ht="33">
      <c r="A13" s="2298" t="s">
        <v>663</v>
      </c>
      <c r="B13" s="2299" t="s">
        <v>660</v>
      </c>
      <c r="C13" s="2299" t="s">
        <v>662</v>
      </c>
      <c r="D13" s="2299" t="s">
        <v>661</v>
      </c>
      <c r="E13" s="2295" t="s">
        <v>653</v>
      </c>
      <c r="F13" s="2295" t="s">
        <v>652</v>
      </c>
      <c r="G13" s="2299" t="s">
        <v>646</v>
      </c>
      <c r="H13" s="2299" t="s">
        <v>657</v>
      </c>
      <c r="I13" s="2299" t="s">
        <v>645</v>
      </c>
      <c r="J13" s="2457"/>
      <c r="K13" s="2457"/>
    </row>
    <row r="14" spans="1:12" ht="16.5">
      <c r="A14" s="2300" t="s">
        <v>4160</v>
      </c>
      <c r="B14" s="2301">
        <f>结果表!B118</f>
        <v>85571.080000000016</v>
      </c>
      <c r="C14" s="2301">
        <f>'数据-基础表'!A3</f>
        <v>0</v>
      </c>
      <c r="D14" s="2301">
        <f ca="1">结果表!H101</f>
        <v>73588</v>
      </c>
      <c r="E14" s="2301">
        <f ca="1">ROUND(D14*10000/B14,0)</f>
        <v>8600</v>
      </c>
      <c r="F14" s="2301" t="e">
        <f ca="1">ROUND(D14*10000/C14,0)</f>
        <v>#DIV/0!</v>
      </c>
      <c r="G14" s="2301"/>
      <c r="H14" s="2301"/>
      <c r="I14" s="2301"/>
      <c r="J14" s="2457">
        <v>81927.53</v>
      </c>
      <c r="K14" s="2457"/>
      <c r="L14" s="2296">
        <f ca="1">D14+D15+D16</f>
        <v>93442</v>
      </c>
    </row>
    <row r="15" spans="1:12" ht="16.5">
      <c r="A15" s="2300" t="s">
        <v>4161</v>
      </c>
      <c r="B15" s="2302">
        <f>'结果表-商业'!B118</f>
        <v>625.88</v>
      </c>
      <c r="C15" s="2302"/>
      <c r="D15" s="2302">
        <f ca="1">'结果表-商业'!H101</f>
        <v>462</v>
      </c>
      <c r="E15" s="2301">
        <f t="shared" ref="E15:E23" ca="1" si="0">ROUND(D15*10000/B15,0)</f>
        <v>7382</v>
      </c>
      <c r="F15" s="2301" t="e">
        <f t="shared" ref="F15:F23" ca="1" si="1">ROUND(D15*10000/C15,0)</f>
        <v>#DIV/0!</v>
      </c>
      <c r="G15" s="1243"/>
      <c r="H15" s="1243"/>
      <c r="I15" s="2302"/>
      <c r="J15" s="2457"/>
      <c r="K15" s="2457"/>
    </row>
    <row r="16" spans="1:12" ht="16.5">
      <c r="A16" s="2300" t="s">
        <v>4269</v>
      </c>
      <c r="B16" s="2302">
        <f>[7]系统读取表!$B$14</f>
        <v>195873.11</v>
      </c>
      <c r="C16" s="2302">
        <f>[7]系统读取表!$C$14</f>
        <v>103091</v>
      </c>
      <c r="D16" s="2302">
        <f ca="1">[7]系统读取表!$D$14</f>
        <v>19392</v>
      </c>
      <c r="E16" s="2301">
        <f t="shared" ca="1" si="0"/>
        <v>990</v>
      </c>
      <c r="F16" s="2301">
        <f t="shared" ca="1" si="1"/>
        <v>1881</v>
      </c>
      <c r="G16" s="1243"/>
      <c r="H16" s="1243"/>
      <c r="I16" s="2302"/>
      <c r="J16" s="2457"/>
      <c r="K16" s="2457"/>
    </row>
    <row r="17" spans="1:12" ht="16.5">
      <c r="A17" s="2300" t="s">
        <v>4267</v>
      </c>
      <c r="B17" s="2302">
        <f>[8]系统读取表!$B$14</f>
        <v>2293.62</v>
      </c>
      <c r="C17" s="2302"/>
      <c r="D17" s="2302">
        <f ca="1">[8]系统读取表!$D$14</f>
        <v>1637</v>
      </c>
      <c r="E17" s="2301">
        <f t="shared" ca="1" si="0"/>
        <v>7137</v>
      </c>
      <c r="F17" s="2301" t="e">
        <f t="shared" ca="1" si="1"/>
        <v>#DIV/0!</v>
      </c>
      <c r="G17" s="1243"/>
      <c r="H17" s="1243"/>
      <c r="I17" s="2302"/>
      <c r="J17" s="2457">
        <v>19021</v>
      </c>
      <c r="K17" s="2457"/>
    </row>
    <row r="18" spans="1:12" ht="16.5">
      <c r="A18" s="2300" t="s">
        <v>4268</v>
      </c>
      <c r="B18" s="2302">
        <f>[9]系统读取表!$B$14</f>
        <v>205878.96</v>
      </c>
      <c r="C18" s="2302">
        <f>[9]系统读取表!$C$14</f>
        <v>79184.22</v>
      </c>
      <c r="D18" s="2302">
        <f ca="1">[9]系统读取表!$D$14</f>
        <v>7413</v>
      </c>
      <c r="E18" s="2301">
        <f t="shared" ca="1" si="0"/>
        <v>360</v>
      </c>
      <c r="F18" s="2301">
        <f t="shared" ca="1" si="1"/>
        <v>936</v>
      </c>
      <c r="G18" s="2302"/>
      <c r="H18" s="2302"/>
      <c r="I18" s="2302"/>
      <c r="J18" s="2457">
        <f>9608+4421.38</f>
        <v>14029.380000000001</v>
      </c>
      <c r="K18" s="2457"/>
      <c r="L18" s="2296">
        <f ca="1">D18+D19</f>
        <v>7413</v>
      </c>
    </row>
    <row r="19" spans="1:12" ht="16.5">
      <c r="A19" s="2300"/>
      <c r="B19" s="2302"/>
      <c r="C19" s="2302"/>
      <c r="D19" s="2302"/>
      <c r="E19" s="2301" t="e">
        <f t="shared" si="0"/>
        <v>#DIV/0!</v>
      </c>
      <c r="F19" s="2301" t="e">
        <f t="shared" si="1"/>
        <v>#DIV/0!</v>
      </c>
      <c r="G19" s="2302"/>
      <c r="H19" s="2302"/>
      <c r="I19" s="2302"/>
      <c r="J19" s="2457"/>
      <c r="K19" s="2457"/>
    </row>
    <row r="20" spans="1:12" ht="16.5">
      <c r="A20" s="2300" t="s">
        <v>644</v>
      </c>
      <c r="B20" s="2302"/>
      <c r="C20" s="2302"/>
      <c r="D20" s="2302"/>
      <c r="E20" s="2301" t="e">
        <f t="shared" si="0"/>
        <v>#DIV/0!</v>
      </c>
      <c r="F20" s="2301" t="e">
        <f t="shared" si="1"/>
        <v>#DIV/0!</v>
      </c>
      <c r="G20" s="2302"/>
      <c r="H20" s="2302"/>
      <c r="I20" s="2302"/>
      <c r="J20" s="2457"/>
      <c r="K20" s="2457"/>
    </row>
    <row r="21" spans="1:12" ht="16.5">
      <c r="A21" s="2300" t="s">
        <v>643</v>
      </c>
      <c r="B21" s="2302"/>
      <c r="C21" s="2302"/>
      <c r="D21" s="2302"/>
      <c r="E21" s="2301" t="e">
        <f t="shared" si="0"/>
        <v>#DIV/0!</v>
      </c>
      <c r="F21" s="2301" t="e">
        <f t="shared" si="1"/>
        <v>#DIV/0!</v>
      </c>
      <c r="G21" s="2302"/>
      <c r="H21" s="2302"/>
      <c r="I21" s="2302"/>
      <c r="J21" s="2457"/>
      <c r="K21" s="2457"/>
    </row>
    <row r="22" spans="1:12" ht="16.5">
      <c r="A22" s="2300" t="s">
        <v>642</v>
      </c>
      <c r="B22" s="2302"/>
      <c r="C22" s="2302"/>
      <c r="D22" s="2302"/>
      <c r="E22" s="2301" t="e">
        <f t="shared" si="0"/>
        <v>#DIV/0!</v>
      </c>
      <c r="F22" s="2301" t="e">
        <f t="shared" si="1"/>
        <v>#DIV/0!</v>
      </c>
      <c r="G22" s="2302"/>
      <c r="H22" s="2302"/>
      <c r="I22" s="2302"/>
      <c r="J22" s="2457"/>
      <c r="K22" s="2457"/>
    </row>
    <row r="23" spans="1:12" ht="16.5">
      <c r="A23" s="2300" t="s">
        <v>641</v>
      </c>
      <c r="B23" s="2302"/>
      <c r="C23" s="2302"/>
      <c r="D23" s="2302"/>
      <c r="E23" s="1243" t="e">
        <f t="shared" si="0"/>
        <v>#DIV/0!</v>
      </c>
      <c r="F23" s="1243" t="e">
        <f t="shared" si="1"/>
        <v>#DIV/0!</v>
      </c>
      <c r="G23" s="2302"/>
      <c r="H23" s="2302"/>
      <c r="I23" s="2302"/>
      <c r="J23" s="2457"/>
      <c r="K23" s="2457"/>
    </row>
    <row r="24" spans="1:12">
      <c r="A24" s="2457"/>
      <c r="B24" s="2457"/>
      <c r="C24" s="2457"/>
      <c r="D24" s="2457"/>
      <c r="E24" s="2457"/>
      <c r="F24" s="2457"/>
      <c r="G24" s="2457"/>
      <c r="H24" s="2457"/>
      <c r="I24" s="2457"/>
      <c r="J24" s="2457"/>
      <c r="K24" s="2457"/>
    </row>
    <row r="25" spans="1:12">
      <c r="A25" s="2457"/>
      <c r="B25" s="2457"/>
      <c r="C25" s="2457"/>
      <c r="D25" s="2457"/>
      <c r="E25" s="2457"/>
      <c r="F25" s="2457"/>
      <c r="G25" s="2457"/>
      <c r="H25" s="2457"/>
      <c r="I25" s="2457"/>
      <c r="J25" s="2457"/>
      <c r="K25" s="2457"/>
    </row>
    <row r="26" spans="1:12">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D17" sqref="D1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3389</v>
      </c>
      <c r="D1" s="646"/>
      <c r="E1" s="646"/>
      <c r="F1" s="1620" t="s">
        <v>1257</v>
      </c>
      <c r="G1" s="1452" t="s">
        <v>3384</v>
      </c>
      <c r="H1" s="1620" t="str">
        <f>IF(G1="现房","——","估价对象范围")</f>
        <v>——</v>
      </c>
      <c r="I1" s="1621" t="s">
        <v>4151</v>
      </c>
    </row>
    <row r="2" spans="1:12" ht="21.75" customHeight="1" thickBot="1">
      <c r="A2" s="3399" t="str">
        <f>项目基本情况!S2</f>
        <v>河北省张家口市下花园区110国道北侧“京北金茂悦”项目房地产</v>
      </c>
      <c r="B2" s="3400"/>
      <c r="C2" s="3400"/>
      <c r="D2" s="3400"/>
      <c r="E2" s="3400"/>
      <c r="F2" s="3400"/>
      <c r="G2" s="3400"/>
      <c r="H2" s="3400"/>
      <c r="I2" s="3401"/>
    </row>
    <row r="3" spans="1:12" ht="12.75">
      <c r="A3" s="3403" t="s">
        <v>1258</v>
      </c>
      <c r="B3" s="3404"/>
      <c r="C3" s="3404"/>
      <c r="D3" s="3404"/>
      <c r="E3" s="3404"/>
      <c r="F3" s="3404"/>
      <c r="G3" s="3404"/>
      <c r="H3" s="3404"/>
      <c r="I3" s="3404"/>
    </row>
    <row r="4" spans="1:12" ht="14.25">
      <c r="A4" s="1623" t="s">
        <v>1259</v>
      </c>
      <c r="B4" s="1624" t="s">
        <v>1260</v>
      </c>
      <c r="C4" s="1625" t="s">
        <v>3424</v>
      </c>
      <c r="D4" s="1625" t="s">
        <v>3821</v>
      </c>
      <c r="E4" s="3405" t="s">
        <v>1261</v>
      </c>
      <c r="F4" s="3406"/>
      <c r="G4" s="3406"/>
      <c r="H4" s="3406"/>
      <c r="I4" s="340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379" t="s">
        <v>1262</v>
      </c>
      <c r="B5" s="3366">
        <v>25</v>
      </c>
      <c r="C5" s="3382"/>
      <c r="D5" s="3402"/>
      <c r="E5" s="123" t="s">
        <v>1263</v>
      </c>
      <c r="F5" s="1626"/>
      <c r="G5" s="1626"/>
      <c r="H5" s="1626"/>
      <c r="I5" s="1280"/>
    </row>
    <row r="6" spans="1:12" ht="12.75">
      <c r="A6" s="3379"/>
      <c r="B6" s="3366"/>
      <c r="C6" s="3383"/>
      <c r="D6" s="3402"/>
      <c r="E6" s="123" t="s">
        <v>1264</v>
      </c>
      <c r="F6" s="1626"/>
      <c r="G6" s="1626"/>
      <c r="H6" s="1626"/>
      <c r="I6" s="1280"/>
    </row>
    <row r="7" spans="1:12" ht="12.75">
      <c r="A7" s="3379"/>
      <c r="B7" s="3366"/>
      <c r="C7" s="3384"/>
      <c r="D7" s="3402"/>
      <c r="E7" s="123" t="s">
        <v>1265</v>
      </c>
      <c r="F7" s="1626"/>
      <c r="G7" s="1626"/>
      <c r="H7" s="1626"/>
      <c r="I7" s="1280"/>
    </row>
    <row r="8" spans="1:12" ht="12.75">
      <c r="A8" s="3379" t="s">
        <v>1266</v>
      </c>
      <c r="B8" s="3366">
        <v>15</v>
      </c>
      <c r="C8" s="3382"/>
      <c r="D8" s="3402"/>
      <c r="E8" s="123" t="s">
        <v>1267</v>
      </c>
      <c r="F8" s="1626"/>
      <c r="G8" s="1626"/>
      <c r="H8" s="1626"/>
      <c r="I8" s="1280"/>
    </row>
    <row r="9" spans="1:12" ht="12.75">
      <c r="A9" s="3379"/>
      <c r="B9" s="3366"/>
      <c r="C9" s="3384"/>
      <c r="D9" s="3402"/>
      <c r="E9" s="123" t="s">
        <v>1268</v>
      </c>
      <c r="F9" s="1626"/>
      <c r="G9" s="1626"/>
      <c r="H9" s="1626"/>
      <c r="I9" s="1280"/>
    </row>
    <row r="10" spans="1:12" ht="12.75">
      <c r="A10" s="3379" t="s">
        <v>1269</v>
      </c>
      <c r="B10" s="3366">
        <v>15</v>
      </c>
      <c r="C10" s="3382"/>
      <c r="D10" s="3402"/>
      <c r="E10" s="123" t="s">
        <v>1270</v>
      </c>
      <c r="F10" s="1626"/>
      <c r="G10" s="1626"/>
      <c r="H10" s="1626"/>
      <c r="I10" s="1280"/>
    </row>
    <row r="11" spans="1:12" ht="12.75">
      <c r="A11" s="3379"/>
      <c r="B11" s="3366"/>
      <c r="C11" s="3384"/>
      <c r="D11" s="3402"/>
      <c r="E11" s="123" t="s">
        <v>1271</v>
      </c>
      <c r="F11" s="1626"/>
      <c r="G11" s="1626"/>
      <c r="H11" s="1626"/>
      <c r="I11" s="1280"/>
    </row>
    <row r="12" spans="1:12" ht="12.75">
      <c r="A12" s="3379" t="s">
        <v>1272</v>
      </c>
      <c r="B12" s="3366">
        <v>15</v>
      </c>
      <c r="C12" s="3382"/>
      <c r="D12" s="3402"/>
      <c r="E12" s="123" t="s">
        <v>1273</v>
      </c>
      <c r="F12" s="1626"/>
      <c r="G12" s="1626"/>
      <c r="H12" s="1626"/>
      <c r="I12" s="1280"/>
    </row>
    <row r="13" spans="1:12" ht="12.75">
      <c r="A13" s="3379"/>
      <c r="B13" s="3366"/>
      <c r="C13" s="3384"/>
      <c r="D13" s="3402"/>
      <c r="E13" s="123" t="s">
        <v>1274</v>
      </c>
      <c r="F13" s="1626"/>
      <c r="G13" s="1626"/>
      <c r="H13" s="1626"/>
      <c r="I13" s="1280"/>
    </row>
    <row r="14" spans="1:12" ht="12.75">
      <c r="A14" s="3379" t="s">
        <v>1275</v>
      </c>
      <c r="B14" s="3366">
        <v>30</v>
      </c>
      <c r="C14" s="3382">
        <v>8</v>
      </c>
      <c r="D14" s="3402">
        <v>2</v>
      </c>
      <c r="E14" s="123" t="s">
        <v>1276</v>
      </c>
      <c r="F14" s="1626"/>
      <c r="G14" s="1626"/>
      <c r="H14" s="1626"/>
      <c r="I14" s="1280"/>
    </row>
    <row r="15" spans="1:12" ht="12.75">
      <c r="A15" s="3379"/>
      <c r="B15" s="3366"/>
      <c r="C15" s="3383"/>
      <c r="D15" s="3402"/>
      <c r="E15" s="123" t="s">
        <v>1277</v>
      </c>
      <c r="F15" s="1626"/>
      <c r="G15" s="1626"/>
      <c r="H15" s="1626"/>
      <c r="I15" s="1280"/>
    </row>
    <row r="16" spans="1:12" ht="12.75">
      <c r="A16" s="3379"/>
      <c r="B16" s="3366"/>
      <c r="C16" s="3384"/>
      <c r="D16" s="3402"/>
      <c r="E16" s="123" t="s">
        <v>1278</v>
      </c>
      <c r="F16" s="1626"/>
      <c r="G16" s="1626"/>
      <c r="H16" s="1626"/>
      <c r="I16" s="1280"/>
    </row>
    <row r="17" spans="1:36" ht="15">
      <c r="A17" s="1627" t="s">
        <v>1279</v>
      </c>
      <c r="B17" s="54"/>
      <c r="C17" s="124">
        <f>SUM(C5:C16)</f>
        <v>8</v>
      </c>
      <c r="D17" s="124">
        <f>SUM(D5:D16)</f>
        <v>2</v>
      </c>
      <c r="E17" s="121"/>
      <c r="F17" s="121"/>
      <c r="G17" s="121"/>
      <c r="H17" s="121"/>
      <c r="I17" s="121"/>
      <c r="K17" s="294"/>
      <c r="L17" s="294" t="s">
        <v>1280</v>
      </c>
      <c r="M17" s="294" t="s">
        <v>1281</v>
      </c>
    </row>
    <row r="18" spans="1:36" ht="31.9" customHeight="1" thickBot="1">
      <c r="A18" s="1628" t="s">
        <v>1282</v>
      </c>
      <c r="B18" s="1541"/>
      <c r="C18" s="125">
        <f>ROUND(C17/SUM(C17:D17),2)</f>
        <v>0.8</v>
      </c>
      <c r="D18" s="125">
        <f>1-C18</f>
        <v>0.19999999999999996</v>
      </c>
      <c r="E18" s="3389" t="s">
        <v>2125</v>
      </c>
      <c r="F18" s="3390"/>
      <c r="G18" s="3390"/>
      <c r="H18" s="3390"/>
      <c r="I18" s="3390"/>
      <c r="K18" s="294" t="s">
        <v>1283</v>
      </c>
      <c r="L18" s="294">
        <f>IF(C1="",'数据-汇总表'!E3,SUMIF(项目类型,C1,'数据-汇总表'!E17:E26)+SUMIF(项目类型,C1,'数据-汇总表'!I17:I26))</f>
        <v>85571.080000000016</v>
      </c>
      <c r="M18" s="294">
        <f>IF(C1="",'数据-汇总表'!E3,SUMIF(项目类型,C1,'数据-汇总表'!E17:E26))</f>
        <v>85571.080000000016</v>
      </c>
    </row>
    <row r="19" spans="1:36" ht="15">
      <c r="A19" s="1629" t="s">
        <v>1284</v>
      </c>
      <c r="B19" s="1630" t="s">
        <v>1285</v>
      </c>
      <c r="C19" s="126">
        <f ca="1">SUMIF(INDIRECT("'"&amp;C4&amp;"'"&amp;"!A:A"),结果表!B19,INDIRECT("'"&amp;C4&amp;"'"&amp;"!B:B"))</f>
        <v>75534</v>
      </c>
      <c r="D19" s="127">
        <f ca="1">SUMIF(INDIRECT("'"&amp;D4&amp;"'"&amp;"!A:A"),结果表!B19,INDIRECT("'"&amp;D4&amp;"'"&amp;"!B:B"))</f>
        <v>65806</v>
      </c>
      <c r="E19" s="1629" t="s">
        <v>1286</v>
      </c>
      <c r="F19" s="1630" t="s">
        <v>1285</v>
      </c>
      <c r="G19" s="128">
        <f ca="1">ROUND(C19*$C$18+D19*$D$18,0)</f>
        <v>73588</v>
      </c>
      <c r="H19" s="1631" t="s">
        <v>1287</v>
      </c>
      <c r="I19" s="121"/>
      <c r="J19" s="684">
        <v>72766.176000000007</v>
      </c>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SUMIF(INDIRECT("'"&amp;C4&amp;"'"&amp;"!A:A"),结果表!B20,INDIRECT("'"&amp;C4&amp;"'"&amp;"!B:B"))</f>
        <v>8827</v>
      </c>
      <c r="D20" s="130">
        <f ca="1">SUMIF(INDIRECT("'"&amp;D4&amp;"'"&amp;"!A:A"),结果表!B20,INDIRECT("'"&amp;D4&amp;"'"&amp;"!B:B"))</f>
        <v>7690</v>
      </c>
      <c r="E20" s="1632"/>
      <c r="F20" s="43" t="s">
        <v>1289</v>
      </c>
      <c r="G20" s="131">
        <f ca="1">ROUND(C20*$C$18+D20*$D$18,0)</f>
        <v>8600</v>
      </c>
      <c r="H20" s="760" t="s">
        <v>1290</v>
      </c>
      <c r="I20" s="121"/>
      <c r="J20" s="684">
        <v>73000</v>
      </c>
    </row>
    <row r="21" spans="1:36" ht="15" customHeight="1" thickBot="1">
      <c r="A21" s="449"/>
      <c r="B21" s="93" t="s">
        <v>1291</v>
      </c>
      <c r="C21" s="678" t="e">
        <f ca="1">ROUND(C19*10000/L19,0)</f>
        <v>#DIV/0!</v>
      </c>
      <c r="D21" s="679" t="e">
        <f ca="1">ROUND(D19*10000/L19,0)</f>
        <v>#DIV/0!</v>
      </c>
      <c r="E21" s="449"/>
      <c r="F21" s="93" t="s">
        <v>1291</v>
      </c>
      <c r="G21" s="132" t="e">
        <f ca="1">ROUND(G19*10000/L19,0)</f>
        <v>#DIV/0!</v>
      </c>
      <c r="H21" s="1633" t="s">
        <v>1290</v>
      </c>
      <c r="I21" s="121"/>
    </row>
    <row r="22" spans="1:36" ht="15" thickBot="1">
      <c r="A22" s="1563" t="s">
        <v>1292</v>
      </c>
      <c r="B22" s="1634"/>
      <c r="C22" s="1635"/>
      <c r="D22" s="680">
        <f ca="1">IF(C19&lt;D19,D19/C19-1,C19/D19-1)</f>
        <v>0.14782846548946904</v>
      </c>
      <c r="E22" s="121"/>
      <c r="F22" s="121"/>
      <c r="G22" s="121"/>
      <c r="H22" s="121"/>
      <c r="I22" s="121"/>
    </row>
    <row r="23" spans="1:36" ht="13.5" thickBot="1">
      <c r="A23" s="646"/>
      <c r="B23" s="646"/>
      <c r="C23" s="646"/>
      <c r="D23" s="646"/>
      <c r="E23" s="121"/>
      <c r="F23" s="121"/>
      <c r="G23" s="121"/>
      <c r="H23" s="121"/>
      <c r="I23" s="121"/>
    </row>
    <row r="24" spans="1:36" ht="14.25">
      <c r="A24" s="3373" t="s">
        <v>1293</v>
      </c>
      <c r="B24" s="1630" t="s">
        <v>1285</v>
      </c>
      <c r="C24" s="128">
        <f>IF(B30=0,0,D30)</f>
        <v>0</v>
      </c>
      <c r="D24" s="1636"/>
      <c r="E24" s="121"/>
      <c r="F24" s="121"/>
      <c r="G24" s="121"/>
      <c r="H24" s="121"/>
      <c r="I24" s="121"/>
    </row>
    <row r="25" spans="1:36" ht="14.25">
      <c r="A25" s="3374"/>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f ca="1">IF(D32="总价",G19-C24,G20-C25)</f>
        <v>73588</v>
      </c>
      <c r="D32" s="1640" t="s">
        <v>4087</v>
      </c>
      <c r="E32" s="121"/>
      <c r="F32" s="121"/>
      <c r="G32" s="121"/>
      <c r="H32" s="121"/>
      <c r="I32" s="121"/>
    </row>
    <row r="33" spans="1:15" ht="15">
      <c r="A33" s="740" t="s">
        <v>1300</v>
      </c>
      <c r="B33" s="123"/>
      <c r="C33" s="1641" t="s">
        <v>4162</v>
      </c>
      <c r="D33" s="1642" t="s">
        <v>3821</v>
      </c>
      <c r="E33" s="1643" t="s">
        <v>1301</v>
      </c>
      <c r="F33" s="1644" t="str">
        <f>IF(D32="楼面单价","取值（单价）","取值（总价）")</f>
        <v>取值（总价）</v>
      </c>
      <c r="G33" s="121"/>
      <c r="H33" s="121"/>
      <c r="I33" s="121"/>
    </row>
    <row r="34" spans="1:15" ht="15">
      <c r="A34" s="1645"/>
      <c r="B34" s="1646" t="s">
        <v>1302</v>
      </c>
      <c r="C34" s="140">
        <f ca="1">IF(C33="自定义",F34,C32-C35)</f>
        <v>15306</v>
      </c>
      <c r="D34" s="808">
        <f ca="1">IF(C33="自定义",ROUND(C34/C32,3),IF(C33="收益比率",SUMIF(INDIRECT("'"&amp;D33&amp;"'"&amp;"!b:b"),"土地收益比率",INDIRECT("'"&amp;D33&amp;"'"&amp;"!c:c")),SUMIF(INDIRECT("'"&amp;D33&amp;"'"&amp;"!b:b"),"土地成本比率",INDIRECT("'"&amp;D33&amp;"'"&amp;"!c:c"))))</f>
        <v>0.20799999999999996</v>
      </c>
      <c r="E34" s="1647" t="s">
        <v>1303</v>
      </c>
      <c r="F34" s="1242"/>
      <c r="G34" s="121"/>
      <c r="H34" s="121"/>
      <c r="I34" s="121"/>
    </row>
    <row r="35" spans="1:15" ht="15.75" thickBot="1">
      <c r="A35" s="1648"/>
      <c r="B35" s="1649" t="s">
        <v>1304</v>
      </c>
      <c r="C35" s="1090">
        <f ca="1">IF(C33="自定义",F35,ROUND(C32*D35,0))</f>
        <v>58282</v>
      </c>
      <c r="D35" s="1091">
        <f ca="1">IF(C33="自定义",ROUND(C35/C32,3),IF(C33="收益比率",SUMIF(INDIRECT("'"&amp;D33&amp;"'"&amp;"!b:b"),"建筑物收益比率",INDIRECT("'"&amp;D33&amp;"'"&amp;"!c:c")),SUMIF(INDIRECT("'"&amp;D33&amp;"'"&amp;"!b:b"),"建筑物成本比率",INDIRECT("'"&amp;D33&amp;"'"&amp;"!c:c"))))</f>
        <v>0.79200000000000004</v>
      </c>
      <c r="E35" s="1650" t="s">
        <v>1305</v>
      </c>
      <c r="F35" s="146"/>
      <c r="G35" s="121"/>
      <c r="H35" s="121"/>
      <c r="I35" s="121"/>
    </row>
    <row r="36" spans="1:15" ht="15.75" thickBot="1">
      <c r="A36" s="3393" t="s">
        <v>1306</v>
      </c>
      <c r="B36" s="1651" t="s">
        <v>1307</v>
      </c>
      <c r="C36" s="137"/>
      <c r="D36" s="1652"/>
      <c r="E36" s="1566"/>
      <c r="F36" s="1653"/>
      <c r="G36" s="121"/>
      <c r="H36" s="121"/>
      <c r="I36" s="121"/>
    </row>
    <row r="37" spans="1:15" ht="15.75" thickBot="1">
      <c r="A37" s="3394"/>
      <c r="B37" s="1554" t="s">
        <v>1308</v>
      </c>
      <c r="C37" s="139"/>
      <c r="D37" s="1071"/>
      <c r="E37" s="1071"/>
      <c r="F37" s="1653"/>
      <c r="G37" s="121"/>
      <c r="H37" s="121"/>
      <c r="I37" s="121"/>
    </row>
    <row r="38" spans="1:15" ht="15.75" thickBot="1">
      <c r="A38" s="3395"/>
      <c r="B38" s="1654" t="s">
        <v>1309</v>
      </c>
      <c r="C38" s="641"/>
      <c r="D38" s="1655" t="s">
        <v>1310</v>
      </c>
      <c r="E38" s="1071"/>
      <c r="F38" s="1653"/>
      <c r="G38" s="121"/>
      <c r="H38" s="121"/>
      <c r="I38" s="121"/>
    </row>
    <row r="39" spans="1:15" ht="15">
      <c r="A39" s="1632" t="s">
        <v>1311</v>
      </c>
      <c r="B39" s="1656" t="s">
        <v>1312</v>
      </c>
      <c r="C39" s="1657" t="s">
        <v>1313</v>
      </c>
      <c r="D39" s="1657" t="s">
        <v>1314</v>
      </c>
      <c r="E39" s="1658" t="s">
        <v>1315</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70" t="s">
        <v>1320</v>
      </c>
      <c r="B45" s="3371"/>
      <c r="C45" s="3372"/>
      <c r="D45" s="147">
        <f ca="1">ROUND(H101*F45,0)</f>
        <v>73588</v>
      </c>
      <c r="E45" s="148" t="s">
        <v>1321</v>
      </c>
      <c r="F45" s="149">
        <v>1</v>
      </c>
      <c r="G45" s="150" t="s">
        <v>1322</v>
      </c>
      <c r="H45" s="121"/>
      <c r="I45" s="121"/>
      <c r="J45" s="3448" t="s">
        <v>1323</v>
      </c>
      <c r="K45" s="3448"/>
      <c r="L45" s="3448"/>
      <c r="M45" s="3448"/>
      <c r="N45" s="3448"/>
      <c r="O45" s="3448"/>
    </row>
    <row r="46" spans="1:15" ht="14.25" customHeight="1">
      <c r="A46" s="3367" t="s">
        <v>1324</v>
      </c>
      <c r="B46" s="3368"/>
      <c r="C46" s="3368"/>
      <c r="D46" s="3368"/>
      <c r="E46" s="3368"/>
      <c r="F46" s="3368"/>
      <c r="G46" s="3369"/>
      <c r="H46" s="1667"/>
      <c r="I46" s="151"/>
      <c r="J46" s="2305">
        <v>1</v>
      </c>
      <c r="K46" s="3429" t="s">
        <v>1325</v>
      </c>
      <c r="L46" s="3429"/>
      <c r="M46" s="3449"/>
      <c r="N46" s="3449"/>
      <c r="O46" s="3449"/>
    </row>
    <row r="47" spans="1:15" ht="12" customHeight="1">
      <c r="A47" s="152" t="s">
        <v>1326</v>
      </c>
      <c r="B47" s="153"/>
      <c r="C47" s="154"/>
      <c r="D47" s="1024" t="s">
        <v>1327</v>
      </c>
      <c r="E47" s="294" t="s">
        <v>1328</v>
      </c>
      <c r="F47" s="155" t="s">
        <v>1329</v>
      </c>
      <c r="G47" s="2328" t="s">
        <v>1330</v>
      </c>
      <c r="H47" s="2329"/>
      <c r="I47" s="151"/>
      <c r="J47" s="2305">
        <v>2</v>
      </c>
      <c r="K47" s="3429" t="s">
        <v>1331</v>
      </c>
      <c r="L47" s="3429"/>
      <c r="M47" s="3450">
        <f>'数据-取费表'!B2</f>
        <v>45291</v>
      </c>
      <c r="N47" s="3450"/>
      <c r="O47" s="3450"/>
    </row>
    <row r="48" spans="1:15" ht="25.5">
      <c r="A48" s="3398" t="s">
        <v>1332</v>
      </c>
      <c r="B48" s="3381"/>
      <c r="C48" s="3381"/>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29" t="s">
        <v>1334</v>
      </c>
      <c r="L48" s="3429"/>
      <c r="M48" s="3451">
        <f ca="1">H101</f>
        <v>73588</v>
      </c>
      <c r="N48" s="3451"/>
      <c r="O48" s="3451"/>
    </row>
    <row r="49" spans="1:35" ht="25.5" customHeight="1">
      <c r="A49" s="2148" t="s">
        <v>1335</v>
      </c>
      <c r="B49" s="3365" t="s">
        <v>1336</v>
      </c>
      <c r="C49" s="3365"/>
      <c r="D49" s="1477">
        <v>0</v>
      </c>
      <c r="E49" s="316" t="s">
        <v>1337</v>
      </c>
      <c r="F49" s="2228" t="s">
        <v>28</v>
      </c>
      <c r="G49" s="3435"/>
      <c r="H49" s="2130" t="s">
        <v>2128</v>
      </c>
      <c r="I49" s="2131"/>
      <c r="J49" s="2305">
        <v>4</v>
      </c>
      <c r="K49" s="3429" t="str">
        <f>IF(项目基本情况!E8="房地产抵押价值","房地产抵押价值","抵押担保权已注销时的房地产抵押价值")</f>
        <v>抵押担保权已注销时的房地产抵押价值</v>
      </c>
      <c r="L49" s="3429"/>
      <c r="M49" s="3451" t="str">
        <f>IF(项目基本情况!E8="房地产抵押价值",H107,H109)</f>
        <v>——</v>
      </c>
      <c r="N49" s="3451"/>
      <c r="O49" s="3451"/>
    </row>
    <row r="50" spans="1:35" ht="25.5" customHeight="1">
      <c r="A50" s="2333"/>
      <c r="B50" s="3365" t="s">
        <v>1338</v>
      </c>
      <c r="C50" s="3365"/>
      <c r="D50" s="2185"/>
      <c r="E50" s="323"/>
      <c r="F50" s="2228"/>
      <c r="G50" s="3436"/>
      <c r="H50" s="2132" t="s">
        <v>2129</v>
      </c>
      <c r="I50" s="2131"/>
      <c r="J50" s="3448" t="s">
        <v>1339</v>
      </c>
      <c r="K50" s="3448"/>
      <c r="L50" s="3448"/>
      <c r="M50" s="3448"/>
      <c r="N50" s="3448"/>
      <c r="O50" s="3448"/>
    </row>
    <row r="51" spans="1:35" ht="20.45" customHeight="1">
      <c r="A51" s="2334"/>
      <c r="B51" s="3365" t="s">
        <v>1340</v>
      </c>
      <c r="C51" s="3365"/>
      <c r="D51" s="1024"/>
      <c r="E51" s="319"/>
      <c r="F51" s="2228"/>
      <c r="G51" s="3437"/>
      <c r="H51" s="2132" t="s">
        <v>2130</v>
      </c>
      <c r="I51" s="2131"/>
      <c r="J51" s="2306" t="s">
        <v>1341</v>
      </c>
      <c r="K51" s="3429" t="s">
        <v>1342</v>
      </c>
      <c r="L51" s="3429"/>
      <c r="M51" s="2306" t="s">
        <v>1343</v>
      </c>
      <c r="N51" s="2306" t="s">
        <v>1344</v>
      </c>
      <c r="O51" s="2306" t="s">
        <v>1345</v>
      </c>
    </row>
    <row r="52" spans="1:35" ht="24" customHeight="1">
      <c r="A52" s="2149" t="s">
        <v>1346</v>
      </c>
      <c r="B52" s="3365" t="s">
        <v>1347</v>
      </c>
      <c r="C52" s="3365"/>
      <c r="D52" s="1024">
        <f ca="1">ROUND(D45*'数据-取费表'!B41/(1+'数据-取费表'!C42),0)</f>
        <v>3925</v>
      </c>
      <c r="E52" s="1255" t="s">
        <v>1348</v>
      </c>
      <c r="F52" s="2335">
        <f>'数据-取费表'!B41</f>
        <v>5.6000000000000001E-2</v>
      </c>
      <c r="G52" s="2336"/>
      <c r="H52" s="2326"/>
      <c r="I52" s="1668"/>
      <c r="J52" s="2305">
        <v>1</v>
      </c>
      <c r="K52" s="3430" t="s">
        <v>1349</v>
      </c>
      <c r="L52" s="3430"/>
      <c r="M52" s="2307" t="b">
        <f>D48</f>
        <v>0</v>
      </c>
      <c r="N52" s="2305" t="str">
        <f>E48</f>
        <v>销售额×税（费）率</v>
      </c>
      <c r="O52" s="2308">
        <f>F48</f>
        <v>5.6000000000000001E-2</v>
      </c>
    </row>
    <row r="53" spans="1:35" ht="12" customHeight="1">
      <c r="A53" s="2149" t="s">
        <v>1350</v>
      </c>
      <c r="B53" s="3391" t="s">
        <v>2285</v>
      </c>
      <c r="C53" s="3392"/>
      <c r="D53" s="1024">
        <f ca="1">ROUND(D45*'数据-取费表'!B41/(1+'数据-取费表'!C42),0)</f>
        <v>3925</v>
      </c>
      <c r="E53" s="1255" t="s">
        <v>1348</v>
      </c>
      <c r="F53" s="2335">
        <f>'数据-取费表'!B41</f>
        <v>5.6000000000000001E-2</v>
      </c>
      <c r="G53" s="2336"/>
      <c r="H53" s="2326"/>
      <c r="I53" s="1668"/>
      <c r="J53" s="2305">
        <v>2</v>
      </c>
      <c r="K53" s="3430" t="s">
        <v>1351</v>
      </c>
      <c r="L53" s="3430"/>
      <c r="M53" s="2307">
        <f t="shared" ref="M53:O54" ca="1" si="0">D55</f>
        <v>37</v>
      </c>
      <c r="N53" s="2305" t="str">
        <f t="shared" si="0"/>
        <v>销售额×税（费）率</v>
      </c>
      <c r="O53" s="2308" t="str">
        <f t="shared" si="0"/>
        <v>免征</v>
      </c>
    </row>
    <row r="54" spans="1:35" ht="12" customHeight="1">
      <c r="A54" s="2149" t="s">
        <v>1352</v>
      </c>
      <c r="B54" s="3391" t="s">
        <v>2286</v>
      </c>
      <c r="C54" s="3392"/>
      <c r="D54" s="1024">
        <f ca="1">C68</f>
        <v>3925</v>
      </c>
      <c r="E54" s="319" t="s">
        <v>1353</v>
      </c>
      <c r="F54" s="2335">
        <f>'数据-取费表'!B41</f>
        <v>5.6000000000000001E-2</v>
      </c>
      <c r="G54" s="2336"/>
      <c r="H54" s="2337"/>
      <c r="I54" s="1668"/>
      <c r="J54" s="2305">
        <v>3</v>
      </c>
      <c r="K54" s="3430" t="s">
        <v>1354</v>
      </c>
      <c r="L54" s="3430"/>
      <c r="M54" s="2307">
        <f t="shared" ca="1" si="0"/>
        <v>41650</v>
      </c>
      <c r="N54" s="2305" t="str">
        <f t="shared" si="0"/>
        <v>增值额×税（费）率</v>
      </c>
      <c r="O54" s="2309" t="str">
        <f t="shared" si="0"/>
        <v>免征</v>
      </c>
    </row>
    <row r="55" spans="1:35" ht="24" customHeight="1">
      <c r="A55" s="3380" t="s">
        <v>1355</v>
      </c>
      <c r="B55" s="3381"/>
      <c r="C55" s="3381"/>
      <c r="D55" s="12">
        <f ca="1">IF(H55="个人住宅",0,ROUND(D45*I55,0))</f>
        <v>37</v>
      </c>
      <c r="E55" s="1255" t="s">
        <v>1356</v>
      </c>
      <c r="F55" s="2335" t="str">
        <f>IF(H55="正常",I55,"免征")</f>
        <v>免征</v>
      </c>
      <c r="G55" s="2336"/>
      <c r="H55" s="2332"/>
      <c r="I55" s="157">
        <f>'数据-取费表'!B49</f>
        <v>5.0000000000000001E-4</v>
      </c>
      <c r="J55" s="2305">
        <f>IF(H59="非个人房产","",4)</f>
        <v>4</v>
      </c>
      <c r="K55" s="3430" t="str">
        <f>IF(H59="非个人房产","——","个人所得税")</f>
        <v>个人所得税</v>
      </c>
      <c r="L55" s="3430"/>
      <c r="M55" s="2310">
        <f ca="1">D59</f>
        <v>701</v>
      </c>
      <c r="N55" s="1879" t="str">
        <f>E59</f>
        <v>差额计税</v>
      </c>
      <c r="O55" s="2311">
        <f>F59</f>
        <v>0.01</v>
      </c>
    </row>
    <row r="56" spans="1:35" ht="24.75">
      <c r="A56" s="3380" t="s">
        <v>1357</v>
      </c>
      <c r="B56" s="3381"/>
      <c r="C56" s="3381"/>
      <c r="D56" s="12">
        <f ca="1">IF(H56="个人住宅",D57,D58)</f>
        <v>41650</v>
      </c>
      <c r="E56" s="1255" t="s">
        <v>1358</v>
      </c>
      <c r="F56" s="2335" t="str">
        <f>IF(H56="正常",F58,"免征")</f>
        <v>免征</v>
      </c>
      <c r="G56" s="2338" t="s">
        <v>1359</v>
      </c>
      <c r="H56" s="2339"/>
      <c r="I56" s="1669"/>
      <c r="J56" s="2305" t="str">
        <f>IF(项目基本情况!K6="上海银行",IF(J55="",4,J55+1),"")</f>
        <v/>
      </c>
      <c r="K56" s="3453" t="str">
        <f>IF(项目基本情况!K6="上海银行","其他处置费用","")</f>
        <v/>
      </c>
      <c r="L56" s="3454"/>
      <c r="M56" s="2307" t="str">
        <f>IF(项目基本情况!K6="上海银行",M69,"")</f>
        <v/>
      </c>
      <c r="N56" s="3453" t="str">
        <f>IF(项目基本情况!K6="上海银行","包含处置中涉及的律师、诉讼、拍卖、评估等费用","")</f>
        <v/>
      </c>
      <c r="O56" s="3456"/>
    </row>
    <row r="57" spans="1:35" ht="12.75">
      <c r="A57" s="2149" t="s">
        <v>1335</v>
      </c>
      <c r="B57" s="3391" t="s">
        <v>1360</v>
      </c>
      <c r="C57" s="3392"/>
      <c r="D57" s="1477">
        <v>0</v>
      </c>
      <c r="E57" s="316" t="s">
        <v>1337</v>
      </c>
      <c r="F57" s="294"/>
      <c r="G57" s="2336"/>
      <c r="H57" s="2340"/>
      <c r="I57" s="1669"/>
      <c r="J57" s="3430">
        <f>IF(AND(J55="",J56=""),4,IF(项目基本情况!K6="上海银行",结果表!J56+1,结果表!J55+1))</f>
        <v>5</v>
      </c>
      <c r="K57" s="3430" t="s">
        <v>1361</v>
      </c>
      <c r="L57" s="2312" t="s">
        <v>1362</v>
      </c>
      <c r="M57" s="2313"/>
      <c r="N57" s="2314">
        <f ca="1">SUMIF(M52:M56,"&lt;9e307")</f>
        <v>42388</v>
      </c>
      <c r="O57" s="2315"/>
      <c r="P57" s="2459" t="e">
        <f ca="1">N57/M49</f>
        <v>#VALUE!</v>
      </c>
    </row>
    <row r="58" spans="1:35" ht="24.75">
      <c r="A58" s="2149" t="s">
        <v>1346</v>
      </c>
      <c r="B58" s="3391" t="s">
        <v>1363</v>
      </c>
      <c r="C58" s="3365"/>
      <c r="D58" s="12">
        <f ca="1">IF(H58="转让取得",C81,C97)</f>
        <v>41650</v>
      </c>
      <c r="E58" s="1255" t="s">
        <v>1358</v>
      </c>
      <c r="F58" s="294" t="s">
        <v>28</v>
      </c>
      <c r="G58" s="2336"/>
      <c r="H58" s="2339"/>
      <c r="I58" s="1669"/>
      <c r="J58" s="3430"/>
      <c r="K58" s="3430"/>
      <c r="L58" s="2312" t="s">
        <v>1364</v>
      </c>
      <c r="M58" s="2316"/>
      <c r="N58" s="2317" t="str">
        <f ca="1">NUMBERSTRING(INT(N57*10000),2)&amp;"元整"</f>
        <v>肆亿贰仟叁佰捌拾捌万元整</v>
      </c>
      <c r="O58" s="2318"/>
    </row>
    <row r="59" spans="1:35" ht="24.75" thickBot="1">
      <c r="A59" s="3433" t="s">
        <v>1365</v>
      </c>
      <c r="B59" s="3434"/>
      <c r="C59" s="3434"/>
      <c r="D59" s="2341">
        <f ca="1">IF(H59="非个人房产","——",IF(H59="个人住宅（满五唯一有凭证）",0,IF(H59="个人其他（无凭证）",ROUND(D45*F59,0),ROUND(C67*F59,0))))</f>
        <v>701</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31">
        <f>J57+1</f>
        <v>6</v>
      </c>
      <c r="K59" s="3430" t="s">
        <v>1366</v>
      </c>
      <c r="L59" s="2305" t="s">
        <v>1362</v>
      </c>
      <c r="M59" s="2319"/>
      <c r="N59" s="2320" t="e">
        <f ca="1">M49-N57</f>
        <v>#VALUE!</v>
      </c>
      <c r="O59" s="2321"/>
    </row>
    <row r="60" spans="1:35" ht="12" customHeight="1">
      <c r="A60" s="1670"/>
      <c r="B60" s="646"/>
      <c r="C60" s="646"/>
      <c r="D60" s="646"/>
      <c r="E60" s="1465"/>
      <c r="F60" s="1669"/>
      <c r="G60" s="1669"/>
      <c r="H60" s="151"/>
      <c r="I60" s="121"/>
      <c r="J60" s="3432"/>
      <c r="K60" s="3430"/>
      <c r="L60" s="2312" t="s">
        <v>1364</v>
      </c>
      <c r="M60" s="2316"/>
      <c r="N60" s="2317" t="e">
        <f ca="1">NUMBERSTRING(INT(N59*10000),2)&amp;"元整"</f>
        <v>#VALUE!</v>
      </c>
      <c r="O60" s="2318"/>
    </row>
    <row r="61" spans="1:35" ht="13.5" thickBot="1">
      <c r="A61" s="3378" t="s">
        <v>1367</v>
      </c>
      <c r="B61" s="3378"/>
      <c r="C61" s="3378"/>
      <c r="D61" s="3378"/>
      <c r="E61" s="3378"/>
      <c r="F61" s="1669"/>
      <c r="G61" s="1669"/>
      <c r="H61" s="151"/>
      <c r="I61" s="121"/>
      <c r="J61" s="2305">
        <f>J59+1</f>
        <v>7</v>
      </c>
      <c r="K61" s="3430" t="s">
        <v>1368</v>
      </c>
      <c r="L61" s="3430"/>
      <c r="M61" s="2322"/>
      <c r="N61" s="2323" t="e">
        <f ca="1">ROUND(N59*10000/'数据-汇总表'!E3,0)</f>
        <v>#VALUE!</v>
      </c>
      <c r="O61" s="2324"/>
    </row>
    <row r="62" spans="1:35" ht="12.75">
      <c r="A62" s="3396" t="s">
        <v>1369</v>
      </c>
      <c r="B62" s="3397"/>
      <c r="C62" s="1861"/>
      <c r="D62" s="1861" t="s">
        <v>1370</v>
      </c>
      <c r="E62" s="158" t="s">
        <v>1371</v>
      </c>
      <c r="F62" s="1669"/>
      <c r="G62" s="1669"/>
      <c r="H62" s="151"/>
      <c r="I62" s="121"/>
    </row>
    <row r="63" spans="1:35" ht="12.75">
      <c r="A63" s="165" t="s">
        <v>330</v>
      </c>
      <c r="B63" s="159" t="s">
        <v>1372</v>
      </c>
      <c r="C63" s="2345">
        <f ca="1">ROUND((C64+C65)/(1+'数据-取费表'!C42),0)</f>
        <v>70084</v>
      </c>
      <c r="D63" s="159"/>
      <c r="E63" s="160"/>
      <c r="F63" s="1669"/>
      <c r="G63" s="1669"/>
      <c r="H63" s="151"/>
      <c r="I63" s="121"/>
      <c r="J63" s="3455"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f ca="1">D45</f>
        <v>73588</v>
      </c>
      <c r="D64" s="162" t="s">
        <v>26</v>
      </c>
      <c r="E64" s="164"/>
      <c r="F64" s="1669"/>
      <c r="G64" s="1669"/>
      <c r="H64" s="151"/>
      <c r="I64" s="121"/>
      <c r="J64" s="3455"/>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55"/>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55"/>
      <c r="K66" s="1244" t="s">
        <v>1381</v>
      </c>
      <c r="L66" s="1244" t="e">
        <f>M49*0.5%</f>
        <v>#VALUE!</v>
      </c>
      <c r="M66" s="294" t="e">
        <f>IF(L66&gt;0.5,0.5,ROUND(L66,0))</f>
        <v>#VALUE!</v>
      </c>
      <c r="N66" s="2326" t="s">
        <v>1382</v>
      </c>
      <c r="Z66" s="1622"/>
      <c r="AI66" s="1560"/>
    </row>
    <row r="67" spans="1:35" ht="14.25" customHeight="1">
      <c r="A67" s="165" t="s">
        <v>328</v>
      </c>
      <c r="B67" s="166" t="s">
        <v>1383</v>
      </c>
      <c r="C67" s="2349">
        <f ca="1">C63-C66</f>
        <v>70084</v>
      </c>
      <c r="D67" s="162" t="s">
        <v>26</v>
      </c>
      <c r="E67" s="164"/>
      <c r="F67" s="1669"/>
      <c r="G67" s="1669"/>
      <c r="H67" s="151"/>
      <c r="I67" s="121"/>
      <c r="J67" s="3455"/>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f ca="1">IF(C67&lt;=0,0,ROUND(C67*D68,0))</f>
        <v>3925</v>
      </c>
      <c r="D68" s="2351">
        <f>'数据-取费表'!B41</f>
        <v>5.6000000000000001E-2</v>
      </c>
      <c r="E68" s="170"/>
      <c r="F68" s="1669"/>
      <c r="G68" s="1669"/>
      <c r="H68" s="151"/>
      <c r="I68" s="121"/>
      <c r="J68" s="3455"/>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55"/>
      <c r="K69" s="1244" t="s">
        <v>1387</v>
      </c>
      <c r="L69" s="1244"/>
      <c r="M69" s="294" t="e">
        <f>ROUND(SUM(M63:M68),0)</f>
        <v>#VALUE!</v>
      </c>
      <c r="N69" s="2327" t="e">
        <f>M69/M49</f>
        <v>#VALUE!</v>
      </c>
      <c r="Z69" s="1622"/>
      <c r="AI69" s="1560"/>
    </row>
    <row r="70" spans="1:35" s="642" customFormat="1" ht="15" thickBot="1">
      <c r="A70" s="3417" t="s">
        <v>1388</v>
      </c>
      <c r="B70" s="3418"/>
      <c r="C70" s="3418"/>
      <c r="D70" s="3418"/>
      <c r="E70" s="3418"/>
      <c r="F70" s="3418"/>
      <c r="G70" s="3418"/>
      <c r="H70" s="341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96" t="s">
        <v>1369</v>
      </c>
      <c r="B71" s="3397"/>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f ca="1">ROUND(D45/(1+'数据-取费表'!C42),0)</f>
        <v>70084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f ca="1">C74+C78</f>
        <v>421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391" t="s">
        <v>1396</v>
      </c>
      <c r="F76" s="3365"/>
      <c r="G76" s="3365"/>
      <c r="H76" s="34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f ca="1">ROUND(D45*D78/(1+'数据-取费表'!C42),0)</f>
        <v>421</v>
      </c>
      <c r="D78" s="2358">
        <f>'数据-取费表'!B43</f>
        <v>6.000000000000001E-3</v>
      </c>
      <c r="E78" s="3375" t="s">
        <v>1400</v>
      </c>
      <c r="F78" s="3376"/>
      <c r="G78" s="3376"/>
      <c r="H78" s="338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1401</v>
      </c>
      <c r="C79" s="2349">
        <f ca="1">C72-C73</f>
        <v>69663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f ca="1">IF(C79&lt;=0,0,C79/C73)</f>
        <v>165.47030878859857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f ca="1">ROUND(IF(C79&lt;=0,0,IF(C80&gt;=200%,C79*60%-C73*35%,IF(C80&gt;=100%,C79*50%-C73*15%,IF(C80&gt;=50%,C79*40%-C73*5%,IF(C80&lt;50%,C79*30%,0))))),0)</f>
        <v>41650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17" t="s">
        <v>1404</v>
      </c>
      <c r="B83" s="3418"/>
      <c r="C83" s="3418"/>
      <c r="D83" s="3418"/>
      <c r="E83" s="3418"/>
      <c r="F83" s="3418"/>
      <c r="G83" s="3418"/>
      <c r="H83" s="34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96" t="s">
        <v>1369</v>
      </c>
      <c r="B84" s="3397"/>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f ca="1">ROUND(D45/(1+'数据-取费表'!C42),0)</f>
        <v>70084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f ca="1">IF(H88="仅含出让金",C87+C90+C91+C92+C93+C94,C87+C91+C92+C93+C94)</f>
        <v>421</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57" t="s">
        <v>2123</v>
      </c>
      <c r="H90" s="3458"/>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75" t="s">
        <v>1413</v>
      </c>
      <c r="F91" s="3376"/>
      <c r="G91" s="337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75" t="s">
        <v>1416</v>
      </c>
      <c r="F92" s="3376"/>
      <c r="G92" s="3376"/>
      <c r="H92" s="3385"/>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f ca="1">ROUND(D45*D93/(1+'数据-取费表'!C42),0)</f>
        <v>421</v>
      </c>
      <c r="D93" s="2358">
        <f>'数据-取费表'!B43</f>
        <v>6.000000000000001E-3</v>
      </c>
      <c r="E93" s="3375" t="s">
        <v>1400</v>
      </c>
      <c r="F93" s="3376"/>
      <c r="G93" s="3376"/>
      <c r="H93" s="338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386" t="s">
        <v>1420</v>
      </c>
      <c r="F94" s="3387"/>
      <c r="G94" s="3387"/>
      <c r="H94" s="338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1401</v>
      </c>
      <c r="C95" s="2349">
        <f ca="1">ROUND(C85-C86,0)</f>
        <v>69663</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f ca="1">IF(C95&lt;=0,0,C95/C86)</f>
        <v>165.47030878859857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f ca="1">ROUND(IF(C95&lt;=0,0,IF(C96&gt;=200%,C95*60%-C86*35%,IF(C96&gt;=100%,C95*50%-C86*15%,IF(C96&gt;=50%,C95*40%-C86*5%,IF(C96&lt;50%,C95*30%,0))))),0)</f>
        <v>41650</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59" t="s">
        <v>1422</v>
      </c>
      <c r="B100" s="3360"/>
      <c r="C100" s="3360"/>
      <c r="D100" s="3377"/>
      <c r="E100" s="3360" t="s">
        <v>1423</v>
      </c>
      <c r="F100" s="3360"/>
      <c r="G100" s="3360"/>
      <c r="H100" s="3377"/>
      <c r="I100" s="121"/>
    </row>
    <row r="101" spans="1:35" ht="18.75" customHeight="1">
      <c r="A101" s="3438" t="s">
        <v>1424</v>
      </c>
      <c r="B101" s="3439"/>
      <c r="C101" s="2366" t="str">
        <f>C4</f>
        <v>比较法-住宅</v>
      </c>
      <c r="D101" s="2367" t="str">
        <f>D4</f>
        <v>成本法</v>
      </c>
      <c r="E101" s="3452" t="s">
        <v>1425</v>
      </c>
      <c r="F101" s="3409"/>
      <c r="G101" s="1686" t="s">
        <v>1426</v>
      </c>
      <c r="H101" s="2376">
        <f ca="1">H118</f>
        <v>73588</v>
      </c>
      <c r="I101" s="121"/>
    </row>
    <row r="102" spans="1:35" ht="18.75" customHeight="1">
      <c r="A102" s="3411" t="s">
        <v>1427</v>
      </c>
      <c r="B102" s="2365" t="s">
        <v>1426</v>
      </c>
      <c r="C102" s="2366">
        <f ca="1">IF(D32="楼面单价",ROUND(C19,0),C19)</f>
        <v>75534</v>
      </c>
      <c r="D102" s="2367">
        <f ca="1">IF(D32="楼面单价",ROUND(D19,0),D19)</f>
        <v>65806</v>
      </c>
      <c r="E102" s="3452"/>
      <c r="F102" s="3409"/>
      <c r="G102" s="1686" t="s">
        <v>1428</v>
      </c>
      <c r="H102" s="2336">
        <f ca="1">I118</f>
        <v>8600</v>
      </c>
      <c r="I102" s="121"/>
    </row>
    <row r="103" spans="1:35" ht="42.75" customHeight="1">
      <c r="A103" s="3411"/>
      <c r="B103" s="2365" t="s">
        <v>1428</v>
      </c>
      <c r="C103" s="2368">
        <f ca="1">C20</f>
        <v>8827</v>
      </c>
      <c r="D103" s="2369">
        <f ca="1">D20</f>
        <v>7690</v>
      </c>
      <c r="E103" s="3446" t="s">
        <v>1429</v>
      </c>
      <c r="F103" s="3447"/>
      <c r="G103" s="1687" t="s">
        <v>1430</v>
      </c>
      <c r="H103" s="2376">
        <f>IF(D36="正常操作",H104+H105+H106,H105+H106)</f>
        <v>0</v>
      </c>
      <c r="I103" s="121"/>
    </row>
    <row r="104" spans="1:35" ht="18.75" customHeight="1">
      <c r="A104" s="3411" t="s">
        <v>1431</v>
      </c>
      <c r="B104" s="2370" t="s">
        <v>1426</v>
      </c>
      <c r="C104" s="2371">
        <f ca="1">H118</f>
        <v>73588</v>
      </c>
      <c r="D104" s="2372"/>
      <c r="E104" s="1554" t="s">
        <v>1432</v>
      </c>
      <c r="F104" s="1547"/>
      <c r="G104" s="1687" t="s">
        <v>1430</v>
      </c>
      <c r="H104" s="2377">
        <f>IF(D36="同一抵押权人同一抵押物续贷",C36&amp;"（续贷，未扣减，详见特别提示）",C36)</f>
        <v>0</v>
      </c>
      <c r="I104" s="121"/>
    </row>
    <row r="105" spans="1:35" ht="18.75" customHeight="1" thickBot="1">
      <c r="A105" s="3412"/>
      <c r="B105" s="2373" t="s">
        <v>1428</v>
      </c>
      <c r="C105" s="2374">
        <f ca="1">I118</f>
        <v>8600</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08" t="str">
        <f>IF(项目基本情况!E8="已注销","——","3.房地产抵押价值")</f>
        <v>3.房地产抵押价值</v>
      </c>
      <c r="F107" s="3409"/>
      <c r="G107" s="1686" t="s">
        <v>1426</v>
      </c>
      <c r="H107" s="2376">
        <f ca="1">IF(E107="——","——",H101-H103)</f>
        <v>73588</v>
      </c>
      <c r="I107" s="121"/>
    </row>
    <row r="108" spans="1:35" ht="18.75" customHeight="1">
      <c r="A108" s="121"/>
      <c r="B108" s="121"/>
      <c r="C108" s="121"/>
      <c r="D108" s="121"/>
      <c r="E108" s="3408"/>
      <c r="F108" s="3409"/>
      <c r="G108" s="1686" t="s">
        <v>1428</v>
      </c>
      <c r="H108" s="2336">
        <f ca="1">IF(H107=H101,H102,ROUND(H107*10000/'数据-汇总表'!E3,0))</f>
        <v>8600</v>
      </c>
      <c r="I108" s="121"/>
    </row>
    <row r="109" spans="1:35" ht="18.75" customHeight="1">
      <c r="A109" s="121"/>
      <c r="B109" s="121"/>
      <c r="C109" s="121"/>
      <c r="D109" s="121"/>
      <c r="E109" s="3408" t="str">
        <f>IF(项目基本情况!E8="已注销及未注销","4.抵押担保权已注销时的房地产抵押价值",IF(项目基本情况!E8="已注销","3.抵押担保权已注销时的房地产抵押价值","——"))</f>
        <v>——</v>
      </c>
      <c r="F109" s="3409"/>
      <c r="G109" s="1686" t="s">
        <v>1426</v>
      </c>
      <c r="H109" s="2379" t="str">
        <f>IF(E109="——","——",H101-H105-H106)</f>
        <v>——</v>
      </c>
      <c r="I109" s="121"/>
    </row>
    <row r="110" spans="1:35" ht="18.75" customHeight="1">
      <c r="A110" s="121"/>
      <c r="B110" s="121"/>
      <c r="C110" s="121"/>
      <c r="D110" s="121"/>
      <c r="E110" s="3408"/>
      <c r="F110" s="3409"/>
      <c r="G110" s="1686" t="s">
        <v>1428</v>
      </c>
      <c r="H110" s="2336" t="str">
        <f>IF(H109="——","——",ROUND(H109*10000/'数据-汇总表'!E3,0))</f>
        <v>——</v>
      </c>
      <c r="I110" s="121"/>
    </row>
    <row r="111" spans="1:35" ht="18.75" customHeight="1">
      <c r="A111" s="121"/>
      <c r="B111" s="121"/>
      <c r="C111" s="121"/>
      <c r="D111" s="121"/>
      <c r="E111" s="3440" t="str">
        <f>IF(项目基本情况!E9="抵押净值",IF(OR(项目基本情况!E8="已注销",项目基本情况!E8="房地产抵押价值"),"4.抵押净值","5.抵押净值"),"——")</f>
        <v>——</v>
      </c>
      <c r="F111" s="3410"/>
      <c r="G111" s="1686" t="s">
        <v>1426</v>
      </c>
      <c r="H111" s="2376" t="str">
        <f>IF(E111="——","——",N59)</f>
        <v>——</v>
      </c>
      <c r="I111" s="121"/>
    </row>
    <row r="112" spans="1:35" ht="18.75" customHeight="1" thickBot="1">
      <c r="A112" s="121"/>
      <c r="B112" s="121"/>
      <c r="C112" s="121"/>
      <c r="D112" s="121"/>
      <c r="E112" s="3441"/>
      <c r="F112" s="3442"/>
      <c r="G112" s="1689" t="s">
        <v>1428</v>
      </c>
      <c r="H112" s="2380" t="str">
        <f>IF(E111="——","——",N61)</f>
        <v>——</v>
      </c>
      <c r="I112" s="121"/>
    </row>
    <row r="113" spans="1:27" ht="18.75" customHeight="1">
      <c r="A113" s="121"/>
      <c r="B113" s="121"/>
      <c r="C113" s="121"/>
      <c r="D113" s="121"/>
      <c r="E113" s="3413" t="s">
        <v>1434</v>
      </c>
      <c r="F113" s="3413"/>
      <c r="G113" s="3413"/>
      <c r="H113" s="3413"/>
      <c r="I113" s="121"/>
    </row>
    <row r="114" spans="1:27" ht="3.75" customHeight="1">
      <c r="A114" s="646"/>
      <c r="B114" s="646"/>
      <c r="C114" s="646"/>
      <c r="D114" s="646"/>
      <c r="E114" s="1670"/>
      <c r="F114" s="1670"/>
      <c r="G114" s="1670"/>
      <c r="H114" s="1670"/>
      <c r="I114" s="646"/>
    </row>
    <row r="115" spans="1:27" ht="18.75" customHeight="1">
      <c r="A115" s="3423" t="s">
        <v>1436</v>
      </c>
      <c r="B115" s="3424"/>
      <c r="C115" s="3424"/>
      <c r="D115" s="3424"/>
      <c r="E115" s="3424"/>
      <c r="F115" s="3424"/>
      <c r="G115" s="3424"/>
      <c r="H115" s="3424"/>
      <c r="I115" s="3425"/>
    </row>
    <row r="116" spans="1:27" ht="27" customHeight="1">
      <c r="A116" s="3379" t="s">
        <v>1437</v>
      </c>
      <c r="B116" s="3414" t="s">
        <v>4163</v>
      </c>
      <c r="C116" s="3414" t="s">
        <v>4164</v>
      </c>
      <c r="D116" s="3427" t="s">
        <v>1440</v>
      </c>
      <c r="E116" s="3428"/>
      <c r="F116" s="3422" t="s">
        <v>4165</v>
      </c>
      <c r="G116" s="3422"/>
      <c r="H116" s="3379" t="s">
        <v>1442</v>
      </c>
      <c r="I116" s="3379"/>
    </row>
    <row r="117" spans="1:27" ht="18.75" customHeight="1">
      <c r="A117" s="3379"/>
      <c r="B117" s="3415"/>
      <c r="C117" s="3415"/>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85571.080000000016</v>
      </c>
      <c r="C118" s="2146">
        <f>M19</f>
        <v>0</v>
      </c>
      <c r="D118" s="2146">
        <f ca="1">ROUND(IF(D32="总价",C34,E118*B118/10000),0)</f>
        <v>15306</v>
      </c>
      <c r="E118" s="2146">
        <f ca="1">ROUND(IF(C33="自定义",IF(D32="楼面单价",C34,D118*10000/B118),I118-G118),0)</f>
        <v>1789</v>
      </c>
      <c r="F118" s="2146">
        <f ca="1">ROUND(IF(D32="总价",C35,G118*B118/10000),0)</f>
        <v>58282</v>
      </c>
      <c r="G118" s="2146">
        <f ca="1">ROUND(IF(D32="楼面单价",C35,F118*10000/B118),0)</f>
        <v>6811</v>
      </c>
      <c r="H118" s="2146">
        <f ca="1">ROUND(IF(D32="总价",C32,I118*B118/10000),0)</f>
        <v>73588</v>
      </c>
      <c r="I118" s="2146">
        <f ca="1">ROUND(IF(D32="楼面单价",C32,H118*10000/B118),0)</f>
        <v>8600</v>
      </c>
      <c r="J118" s="684" t="e">
        <f ca="1">D118/C118*666.67</f>
        <v>#DIV/0!</v>
      </c>
    </row>
    <row r="119" spans="1:27" ht="18.75" customHeight="1">
      <c r="A119" s="3379" t="s">
        <v>1446</v>
      </c>
      <c r="B119" s="3379"/>
      <c r="C119" s="3379"/>
      <c r="D119" s="3419" t="str">
        <f ca="1">NUMBERSTRING(INT(D118*10000),2)&amp;"元整"</f>
        <v>壹亿伍仟叁佰零陆万元整</v>
      </c>
      <c r="E119" s="3421"/>
      <c r="F119" s="3419" t="str">
        <f ca="1">NUMBERSTRING(INT(F118*10000),2)&amp;"元整"</f>
        <v>伍亿捌仟贰佰捌拾贰万元整</v>
      </c>
      <c r="G119" s="3421"/>
      <c r="H119" s="3419" t="str">
        <f ca="1">NUMBERSTRING(INT(H118*10000),2)&amp;"元整"</f>
        <v>柒亿叁仟伍佰捌拾捌万元整</v>
      </c>
      <c r="I119" s="3421"/>
    </row>
    <row r="120" spans="1:27" ht="18.75" customHeight="1">
      <c r="A120" s="3443" t="str">
        <f>IF(项目基本情况!B9="房地产市场价值","",MID(E103,3,LEN(E103)-2))</f>
        <v/>
      </c>
      <c r="B120" s="3444"/>
      <c r="C120" s="3445"/>
      <c r="D120" s="3443">
        <f>H103</f>
        <v>0</v>
      </c>
      <c r="E120" s="3444"/>
      <c r="F120" s="3444"/>
      <c r="G120" s="3444"/>
      <c r="H120" s="3444"/>
      <c r="I120" s="344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19" t="s">
        <v>1446</v>
      </c>
      <c r="B121" s="3420"/>
      <c r="C121" s="3421"/>
      <c r="D121" s="3419" t="str">
        <f>IF(D120=0,"零元整",NUMBERSTRING(INT(D120*10000),2)&amp;"元整")</f>
        <v>零元整</v>
      </c>
      <c r="E121" s="3420"/>
      <c r="F121" s="3420"/>
      <c r="G121" s="3420"/>
      <c r="H121" s="3420"/>
      <c r="I121" s="3421"/>
      <c r="AA121" s="684"/>
    </row>
    <row r="122" spans="1:27" ht="18.75" customHeight="1">
      <c r="A122" s="3410" t="str">
        <f>IF(项目基本情况!B9="房地产市场价值","",MID(E107,3,LEN(E107)-2))</f>
        <v/>
      </c>
      <c r="B122" s="3410"/>
      <c r="C122" s="3410"/>
      <c r="D122" s="3443">
        <f ca="1">H107</f>
        <v>73588</v>
      </c>
      <c r="E122" s="3444"/>
      <c r="F122" s="3444"/>
      <c r="G122" s="3444"/>
      <c r="H122" s="3444"/>
      <c r="I122" s="3445"/>
      <c r="AA122" s="684"/>
    </row>
    <row r="123" spans="1:27" ht="18.75" customHeight="1">
      <c r="A123" s="3379" t="s">
        <v>1446</v>
      </c>
      <c r="B123" s="3379"/>
      <c r="C123" s="3379"/>
      <c r="D123" s="3419" t="str">
        <f ca="1">NUMBERSTRING(INT(D122*10000),2)&amp;"元整"</f>
        <v>柒亿叁仟伍佰捌拾捌万元整</v>
      </c>
      <c r="E123" s="3420"/>
      <c r="F123" s="3420"/>
      <c r="G123" s="3420"/>
      <c r="H123" s="3420"/>
      <c r="I123" s="3421"/>
      <c r="AA123" s="684"/>
    </row>
    <row r="124" spans="1:27" ht="18.75" customHeight="1">
      <c r="A124" s="3410" t="str">
        <f>IF(项目基本情况!B9="房地产市场价值","",MID(E109,3,LEN(E109)-2))</f>
        <v/>
      </c>
      <c r="B124" s="3410"/>
      <c r="C124" s="3410"/>
      <c r="D124" s="3443" t="str">
        <f>H109</f>
        <v>——</v>
      </c>
      <c r="E124" s="3444"/>
      <c r="F124" s="3444"/>
      <c r="G124" s="3444"/>
      <c r="H124" s="3444"/>
      <c r="I124" s="3445"/>
      <c r="AA124" s="684"/>
    </row>
    <row r="125" spans="1:27" ht="18.75" customHeight="1">
      <c r="A125" s="3379" t="s">
        <v>1446</v>
      </c>
      <c r="B125" s="3379"/>
      <c r="C125" s="3379"/>
      <c r="D125" s="3419" t="e">
        <f>NUMBERSTRING(INT(D124*10000),2)&amp;"元整"</f>
        <v>#VALUE!</v>
      </c>
      <c r="E125" s="3420"/>
      <c r="F125" s="3420"/>
      <c r="G125" s="3420"/>
      <c r="H125" s="3420"/>
      <c r="I125" s="3421"/>
      <c r="AA125" s="684"/>
    </row>
    <row r="126" spans="1:27" ht="18.75" customHeight="1">
      <c r="A126" s="3410" t="str">
        <f>IF(项目基本情况!B9="房地产市场价值","",MID(E111,3,LEN(E111)-2))</f>
        <v/>
      </c>
      <c r="B126" s="3410"/>
      <c r="C126" s="3410"/>
      <c r="D126" s="3443" t="str">
        <f>H111</f>
        <v>——</v>
      </c>
      <c r="E126" s="3444"/>
      <c r="F126" s="3444"/>
      <c r="G126" s="3444"/>
      <c r="H126" s="3444"/>
      <c r="I126" s="3445"/>
      <c r="AA126" s="684"/>
    </row>
    <row r="127" spans="1:27" ht="18.75" customHeight="1">
      <c r="A127" s="3379" t="s">
        <v>1446</v>
      </c>
      <c r="B127" s="3379"/>
      <c r="C127" s="3379"/>
      <c r="D127" s="3419" t="e">
        <f>NUMBERSTRING(INT(D126*10000),2)&amp;"元整"</f>
        <v>#VALUE!</v>
      </c>
      <c r="E127" s="3420"/>
      <c r="F127" s="3420"/>
      <c r="G127" s="3420"/>
      <c r="H127" s="3420"/>
      <c r="I127" s="3421"/>
      <c r="AA127" s="684"/>
    </row>
    <row r="128" spans="1:27" ht="21.75" customHeight="1">
      <c r="A128" s="3426" t="s">
        <v>1447</v>
      </c>
      <c r="B128" s="3426"/>
      <c r="C128" s="3426"/>
      <c r="D128" s="3426"/>
      <c r="E128" s="3426"/>
      <c r="F128" s="3426"/>
      <c r="G128" s="3426"/>
      <c r="H128" s="3426"/>
      <c r="I128" s="3426"/>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10" stopIfTrue="1" operator="equal">
      <formula>25</formula>
    </cfRule>
  </conditionalFormatting>
  <conditionalFormatting sqref="C8:D13">
    <cfRule type="cellIs" dxfId="156" priority="8" stopIfTrue="1" operator="equal">
      <formula>15</formula>
    </cfRule>
  </conditionalFormatting>
  <conditionalFormatting sqref="C14:D16">
    <cfRule type="cellIs" dxfId="155" priority="6"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90" zoomScaleNormal="60" zoomScaleSheetLayoutView="90" workbookViewId="0">
      <selection activeCell="M44" sqref="M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733" t="s">
        <v>1655</v>
      </c>
      <c r="C1" s="1154" t="s">
        <v>1656</v>
      </c>
      <c r="D1" s="1141" t="s">
        <v>3389</v>
      </c>
      <c r="E1" s="3119" t="s">
        <v>3392</v>
      </c>
      <c r="F1" s="1734" t="s">
        <v>3393</v>
      </c>
      <c r="G1" s="1151" t="s">
        <v>1657</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679</v>
      </c>
      <c r="B2" s="3120">
        <f>IF(E1="项目模式",IF(C2="——",ROUND(C49*D3/10000,0),ROUND(C49*D3/10000,0)-D2),IF(E1="单套模式",IF(C2="——",ROUND(C49*D3/10000,4),ROUND(C49*D3/10000,4)-D2)))</f>
        <v>75534</v>
      </c>
      <c r="C2" s="1736" t="s">
        <v>43</v>
      </c>
      <c r="D2" s="1052" t="e">
        <f ca="1">IF(E1="项目模式",SUMIF(INDIRECT("'"&amp;F2&amp;"'"&amp;"!A:A"),"承租人权益价值",INDIRECT("'"&amp;F2&amp;"'"&amp;"!c:c")),SUMIF(INDIRECT("'"&amp;F2&amp;"'"&amp;"!A:A"),"承租人权益价值（单套）",INDIRECT("'"&amp;F2&amp;"'"&amp;"!c:c")))</f>
        <v>#REF!</v>
      </c>
      <c r="E2" s="1737" t="s">
        <v>1658</v>
      </c>
      <c r="F2" s="1738"/>
      <c r="G2" s="854"/>
      <c r="H2" s="854"/>
      <c r="I2" s="854"/>
      <c r="J2" s="854"/>
      <c r="K2" s="1739"/>
      <c r="L2" s="2479"/>
      <c r="M2" s="2480"/>
      <c r="N2" s="2480"/>
      <c r="O2" s="2480"/>
      <c r="P2" s="1740"/>
      <c r="Q2" s="1741"/>
      <c r="R2" s="1741"/>
      <c r="S2" s="1741"/>
      <c r="T2" s="1741"/>
      <c r="U2" s="1741"/>
      <c r="V2" s="1741"/>
      <c r="W2" s="1741"/>
      <c r="X2" s="1741"/>
      <c r="Y2" s="1741"/>
      <c r="Z2" s="1741"/>
      <c r="AA2" s="1741"/>
      <c r="AB2" s="1741"/>
      <c r="AC2" s="998"/>
    </row>
    <row r="3" spans="1:29" s="338" customFormat="1" ht="28.5" customHeight="1" thickBot="1">
      <c r="A3" s="195" t="s">
        <v>680</v>
      </c>
      <c r="B3" s="343">
        <f>IF(C2="——",C49,ROUND(B2*10000/D3,0))</f>
        <v>8827</v>
      </c>
      <c r="C3" s="344" t="s">
        <v>1659</v>
      </c>
      <c r="D3" s="343">
        <f>IF(D1="",'数据-汇总表'!E3,SUMIF('数据-汇总表'!$C19:$C33,D1,'数据-汇总表'!$E19:$E33))</f>
        <v>85571.080000000016</v>
      </c>
      <c r="E3" s="854"/>
      <c r="F3" s="1742"/>
      <c r="G3" s="854"/>
      <c r="H3" s="854"/>
      <c r="I3" s="854"/>
      <c r="J3" s="854"/>
      <c r="K3" s="1739"/>
      <c r="L3" s="2479"/>
      <c r="M3" s="2480"/>
      <c r="N3" s="2480"/>
      <c r="O3" s="2480"/>
      <c r="P3" s="1740"/>
      <c r="Q3" s="1741"/>
      <c r="R3" s="1741"/>
      <c r="S3" s="1741"/>
      <c r="T3" s="1741"/>
      <c r="U3" s="1741"/>
      <c r="V3" s="1741"/>
      <c r="W3" s="1741"/>
      <c r="X3" s="1741"/>
      <c r="Y3" s="1741"/>
      <c r="Z3" s="1741"/>
      <c r="AA3" s="1741"/>
      <c r="AB3" s="1741"/>
      <c r="AC3" s="998"/>
    </row>
    <row r="4" spans="1:29" ht="15">
      <c r="A4" s="345" t="s">
        <v>1660</v>
      </c>
      <c r="B4" s="346"/>
      <c r="C4" s="3477" t="s">
        <v>1661</v>
      </c>
      <c r="D4" s="3478"/>
      <c r="E4" s="3479" t="s">
        <v>1662</v>
      </c>
      <c r="F4" s="3480"/>
      <c r="G4" s="3477" t="s">
        <v>1663</v>
      </c>
      <c r="H4" s="3478"/>
      <c r="I4" s="3477" t="s">
        <v>1664</v>
      </c>
      <c r="J4" s="3478"/>
      <c r="K4" s="1743" t="s">
        <v>1665</v>
      </c>
      <c r="L4" s="2481"/>
      <c r="M4" s="2482"/>
      <c r="N4" s="2482"/>
      <c r="O4" s="2482"/>
      <c r="P4" s="3481" t="s">
        <v>1666</v>
      </c>
      <c r="Q4" s="3482"/>
      <c r="R4" s="3487" t="s">
        <v>1662</v>
      </c>
      <c r="S4" s="3488"/>
      <c r="T4" s="3487" t="s">
        <v>1663</v>
      </c>
      <c r="U4" s="3488"/>
      <c r="V4" s="3463" t="s">
        <v>1664</v>
      </c>
      <c r="W4" s="3463"/>
      <c r="X4" s="1264"/>
      <c r="Y4" s="3487" t="s">
        <v>1666</v>
      </c>
      <c r="Z4" s="3488"/>
      <c r="AA4" s="3474" t="s">
        <v>1662</v>
      </c>
      <c r="AB4" s="3474" t="s">
        <v>1663</v>
      </c>
      <c r="AC4" s="3474" t="s">
        <v>1664</v>
      </c>
    </row>
    <row r="5" spans="1:29" ht="15">
      <c r="A5" s="348"/>
      <c r="B5" s="349"/>
      <c r="C5" s="3495" t="s">
        <v>4092</v>
      </c>
      <c r="D5" s="3496"/>
      <c r="E5" s="3502" t="s">
        <v>4099</v>
      </c>
      <c r="F5" s="3503"/>
      <c r="G5" s="3495" t="s">
        <v>4108</v>
      </c>
      <c r="H5" s="3496"/>
      <c r="I5" s="3495" t="s">
        <v>4127</v>
      </c>
      <c r="J5" s="3496"/>
      <c r="K5" s="1744"/>
      <c r="L5" s="2481"/>
      <c r="M5" s="2482"/>
      <c r="N5" s="2482"/>
      <c r="O5" s="2482"/>
      <c r="P5" s="3483"/>
      <c r="Q5" s="3484"/>
      <c r="R5" s="3489"/>
      <c r="S5" s="3490"/>
      <c r="T5" s="3489"/>
      <c r="U5" s="3490"/>
      <c r="V5" s="3463"/>
      <c r="W5" s="3463"/>
      <c r="X5" s="1264"/>
      <c r="Y5" s="3489"/>
      <c r="Z5" s="3490"/>
      <c r="AA5" s="3475"/>
      <c r="AB5" s="3475"/>
      <c r="AC5" s="3475"/>
    </row>
    <row r="6" spans="1:29" ht="15.75" thickBot="1">
      <c r="A6" s="350"/>
      <c r="B6" s="351"/>
      <c r="C6" s="3493" t="s">
        <v>1671</v>
      </c>
      <c r="D6" s="3494"/>
      <c r="E6" s="3500" t="s">
        <v>1671</v>
      </c>
      <c r="F6" s="3501"/>
      <c r="G6" s="3493" t="s">
        <v>1671</v>
      </c>
      <c r="H6" s="3494"/>
      <c r="I6" s="3493" t="s">
        <v>1671</v>
      </c>
      <c r="J6" s="3494"/>
      <c r="K6" s="1744" t="s">
        <v>1672</v>
      </c>
      <c r="L6" s="2481"/>
      <c r="M6" s="2482"/>
      <c r="N6" s="2482"/>
      <c r="O6" s="2482"/>
      <c r="P6" s="3485"/>
      <c r="Q6" s="3486"/>
      <c r="R6" s="3489"/>
      <c r="S6" s="3490"/>
      <c r="T6" s="3491"/>
      <c r="U6" s="3492"/>
      <c r="V6" s="3463"/>
      <c r="W6" s="3463"/>
      <c r="X6" s="1264"/>
      <c r="Y6" s="3491"/>
      <c r="Z6" s="3492"/>
      <c r="AA6" s="3476"/>
      <c r="AB6" s="3476"/>
      <c r="AC6" s="3476"/>
    </row>
    <row r="7" spans="1:29" s="102" customFormat="1" ht="15.75" thickBot="1">
      <c r="A7" s="352" t="s">
        <v>1673</v>
      </c>
      <c r="B7" s="353"/>
      <c r="C7" s="354">
        <f>'数据-取费表'!B2</f>
        <v>45291</v>
      </c>
      <c r="D7" s="355">
        <v>100</v>
      </c>
      <c r="E7" s="356">
        <f>C7</f>
        <v>45291</v>
      </c>
      <c r="F7" s="357">
        <f>SUMIF(58:58,YEAR(E7)&amp;"-"&amp;MONTH(E7),59:59)</f>
        <v>100</v>
      </c>
      <c r="G7" s="356">
        <f>C7</f>
        <v>45291</v>
      </c>
      <c r="H7" s="355">
        <f>SUMIF(58:58,YEAR(G7)&amp;"-"&amp;MONTH(G7),59:59)</f>
        <v>100</v>
      </c>
      <c r="I7" s="356">
        <f>C7</f>
        <v>45291</v>
      </c>
      <c r="J7" s="355">
        <f>SUMIF(58:58,YEAR(I7)&amp;"-"&amp;MONTH(I7),59:59)</f>
        <v>100</v>
      </c>
      <c r="K7" s="1745"/>
      <c r="L7" s="2483"/>
      <c r="M7" s="2435"/>
      <c r="N7" s="2435"/>
      <c r="O7" s="2435"/>
      <c r="P7" s="3497" t="s">
        <v>1674</v>
      </c>
      <c r="Q7" s="3499"/>
      <c r="R7" s="664" t="s">
        <v>20</v>
      </c>
      <c r="S7" s="665">
        <f t="shared" ref="S7:S15" si="0">F7</f>
        <v>100</v>
      </c>
      <c r="T7" s="664" t="s">
        <v>20</v>
      </c>
      <c r="U7" s="665">
        <f t="shared" ref="U7:U15" si="1">H7</f>
        <v>100</v>
      </c>
      <c r="V7" s="664" t="s">
        <v>20</v>
      </c>
      <c r="W7" s="665">
        <f t="shared" ref="W7:W15" si="2">J7</f>
        <v>100</v>
      </c>
      <c r="X7" s="666"/>
      <c r="Y7" s="3497" t="s">
        <v>1674</v>
      </c>
      <c r="Z7" s="3498"/>
      <c r="AA7" s="50">
        <f>D7/F7</f>
        <v>1</v>
      </c>
      <c r="AB7" s="50">
        <f>D7/H7</f>
        <v>1</v>
      </c>
      <c r="AC7" s="50">
        <f>D7/J7</f>
        <v>1</v>
      </c>
    </row>
    <row r="8" spans="1:29" s="102" customFormat="1" ht="15.75" thickBot="1">
      <c r="A8" s="352" t="s">
        <v>1675</v>
      </c>
      <c r="B8" s="353"/>
      <c r="C8" s="358" t="s">
        <v>3394</v>
      </c>
      <c r="D8" s="355">
        <v>100</v>
      </c>
      <c r="E8" s="358" t="s">
        <v>4138</v>
      </c>
      <c r="F8" s="357">
        <f>SUMIF(61:61,E8,62:62)-SUMIF(61:61,C8,62:62)+100</f>
        <v>102</v>
      </c>
      <c r="G8" s="358" t="s">
        <v>4138</v>
      </c>
      <c r="H8" s="355">
        <f>SUMIF(61:61,G8,62:62)-SUMIF(61:61,C8,62:62)+100</f>
        <v>102</v>
      </c>
      <c r="I8" s="358" t="s">
        <v>4138</v>
      </c>
      <c r="J8" s="355">
        <f>SUMIF(61:61,I8,62:62)-SUMIF(61:61,C8,62:62)+100</f>
        <v>102</v>
      </c>
      <c r="K8" s="1745"/>
      <c r="L8" s="2483"/>
      <c r="M8" s="2435"/>
      <c r="N8" s="2435"/>
      <c r="O8" s="2435"/>
      <c r="P8" s="3497" t="s">
        <v>1677</v>
      </c>
      <c r="Q8" s="3498"/>
      <c r="R8" s="664" t="s">
        <v>20</v>
      </c>
      <c r="S8" s="665">
        <f t="shared" si="0"/>
        <v>102</v>
      </c>
      <c r="T8" s="664" t="s">
        <v>20</v>
      </c>
      <c r="U8" s="665">
        <f t="shared" si="1"/>
        <v>102</v>
      </c>
      <c r="V8" s="664" t="s">
        <v>20</v>
      </c>
      <c r="W8" s="665">
        <f t="shared" si="2"/>
        <v>102</v>
      </c>
      <c r="X8" s="666"/>
      <c r="Y8" s="3497" t="s">
        <v>1677</v>
      </c>
      <c r="Z8" s="3498"/>
      <c r="AA8" s="50">
        <f t="shared" ref="AA8:AA19" si="3">D8/F8</f>
        <v>0.98039215686274506</v>
      </c>
      <c r="AB8" s="50">
        <f t="shared" ref="AB8:AB19" si="4">D8/H8</f>
        <v>0.98039215686274506</v>
      </c>
      <c r="AC8" s="50">
        <f t="shared" ref="AC8:AC19" si="5">D8/J8</f>
        <v>0.98039215686274506</v>
      </c>
    </row>
    <row r="9" spans="1:29" s="102" customFormat="1">
      <c r="A9" s="359" t="s">
        <v>1678</v>
      </c>
      <c r="B9" s="60" t="s">
        <v>1679</v>
      </c>
      <c r="C9" s="3140" t="s">
        <v>3396</v>
      </c>
      <c r="D9" s="59">
        <v>100</v>
      </c>
      <c r="E9" s="361" t="s">
        <v>3387</v>
      </c>
      <c r="F9" s="60">
        <f>SUMIF(63:63,E9,64:64)-SUMIF(63:63,C9,64:64)+100</f>
        <v>100</v>
      </c>
      <c r="G9" s="362" t="s">
        <v>3387</v>
      </c>
      <c r="H9" s="59">
        <f>SUMIF(63:63,G9,64:64)-SUMIF(63:63,C9,64:64)+100</f>
        <v>100</v>
      </c>
      <c r="I9" s="362" t="s">
        <v>3387</v>
      </c>
      <c r="J9" s="59">
        <f>SUMIF(63:63,I9,64:64)-SUMIF(63:63,C9,64:64)+100</f>
        <v>100</v>
      </c>
      <c r="K9" s="1745"/>
      <c r="L9" s="2483"/>
      <c r="M9" s="2435"/>
      <c r="N9" s="2435"/>
      <c r="O9" s="2435"/>
      <c r="P9" s="3473" t="s">
        <v>1680</v>
      </c>
      <c r="Q9" s="530" t="str">
        <f t="shared" ref="Q9:Q15" si="6">B9</f>
        <v>用途</v>
      </c>
      <c r="R9" s="664" t="s">
        <v>14</v>
      </c>
      <c r="S9" s="665">
        <f t="shared" si="0"/>
        <v>100</v>
      </c>
      <c r="T9" s="664" t="s">
        <v>14</v>
      </c>
      <c r="U9" s="665">
        <f t="shared" si="1"/>
        <v>100</v>
      </c>
      <c r="V9" s="664" t="s">
        <v>14</v>
      </c>
      <c r="W9" s="665">
        <f t="shared" si="2"/>
        <v>100</v>
      </c>
      <c r="X9" s="666"/>
      <c r="Y9" s="3366"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8"/>
      <c r="F10" s="364">
        <f>SUMIF(65:65,E10,66:66)-SUMIF(65:65,C10,66:66)+100</f>
        <v>100</v>
      </c>
      <c r="G10" s="3127"/>
      <c r="H10" s="119">
        <f>SUMIF(65:65,G10,66:66)-SUMIF(65:65,C10,66:66)+100</f>
        <v>100</v>
      </c>
      <c r="I10" s="3127"/>
      <c r="J10" s="119">
        <f>SUMIF(65:65,I10,66:66)-SUMIF(65:65,C10,66:66)+100</f>
        <v>100</v>
      </c>
      <c r="K10" s="1745"/>
      <c r="L10" s="2484"/>
      <c r="M10" s="2485"/>
      <c r="N10" s="2485"/>
      <c r="O10" s="2485"/>
      <c r="P10" s="3473"/>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1683</v>
      </c>
      <c r="C11" s="368">
        <v>2</v>
      </c>
      <c r="D11" s="119">
        <v>100</v>
      </c>
      <c r="E11" s="369">
        <v>1.9</v>
      </c>
      <c r="F11" s="364">
        <f>LOOKUP(E11,68:68,69:69)-LOOKUP(C11,68:68,69:69)+100</f>
        <v>102</v>
      </c>
      <c r="G11" s="368">
        <v>1.26</v>
      </c>
      <c r="H11" s="119">
        <f>LOOKUP(G11,68:68,69:69)-LOOKUP(C11,68:68,69:69)+100</f>
        <v>104</v>
      </c>
      <c r="I11" s="368">
        <v>1.68</v>
      </c>
      <c r="J11" s="119">
        <f>LOOKUP(I11,68:68,69:69)-LOOKUP(C11,68:68,69:69)+100</f>
        <v>102</v>
      </c>
      <c r="K11" s="365">
        <v>2</v>
      </c>
      <c r="L11" s="2486"/>
      <c r="M11" s="2482"/>
      <c r="N11" s="2482"/>
      <c r="O11" s="2482"/>
      <c r="P11" s="3473"/>
      <c r="Q11" s="530" t="str">
        <f t="shared" si="6"/>
        <v>容积率</v>
      </c>
      <c r="R11" s="664" t="s">
        <v>18</v>
      </c>
      <c r="S11" s="665">
        <f t="shared" si="0"/>
        <v>102</v>
      </c>
      <c r="T11" s="664" t="s">
        <v>18</v>
      </c>
      <c r="U11" s="665">
        <f t="shared" si="1"/>
        <v>104</v>
      </c>
      <c r="V11" s="664" t="s">
        <v>18</v>
      </c>
      <c r="W11" s="665">
        <f t="shared" si="2"/>
        <v>102</v>
      </c>
      <c r="X11" s="666"/>
      <c r="Y11" s="3366"/>
      <c r="Z11" s="50" t="str">
        <f t="shared" si="7"/>
        <v>容积率</v>
      </c>
      <c r="AA11" s="50">
        <f t="shared" si="3"/>
        <v>0.98039215686274506</v>
      </c>
      <c r="AB11" s="50">
        <f t="shared" si="4"/>
        <v>0.96153846153846156</v>
      </c>
      <c r="AC11" s="50">
        <f t="shared" si="5"/>
        <v>0.98039215686274506</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3"/>
      <c r="M12" s="2435"/>
      <c r="N12" s="2435"/>
      <c r="O12" s="2435"/>
      <c r="P12" s="3473"/>
      <c r="Q12" s="530">
        <f t="shared" si="6"/>
        <v>111</v>
      </c>
      <c r="R12" s="664" t="s">
        <v>18</v>
      </c>
      <c r="S12" s="665">
        <f t="shared" si="0"/>
        <v>100</v>
      </c>
      <c r="T12" s="664" t="s">
        <v>18</v>
      </c>
      <c r="U12" s="665">
        <f t="shared" si="1"/>
        <v>100</v>
      </c>
      <c r="V12" s="664" t="s">
        <v>18</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7"/>
      <c r="M13" s="2482"/>
      <c r="N13" s="2482"/>
      <c r="O13" s="2482"/>
      <c r="P13" s="3473"/>
      <c r="Q13" s="530">
        <f t="shared" si="6"/>
        <v>111</v>
      </c>
      <c r="R13" s="664" t="s">
        <v>18</v>
      </c>
      <c r="S13" s="665">
        <f t="shared" si="0"/>
        <v>100</v>
      </c>
      <c r="T13" s="664" t="s">
        <v>18</v>
      </c>
      <c r="U13" s="665">
        <f t="shared" si="1"/>
        <v>100</v>
      </c>
      <c r="V13" s="664" t="s">
        <v>18</v>
      </c>
      <c r="W13" s="665">
        <f t="shared" si="2"/>
        <v>100</v>
      </c>
      <c r="X13" s="666"/>
      <c r="Y13" s="3366"/>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7"/>
      <c r="M14" s="2482"/>
      <c r="N14" s="2482"/>
      <c r="O14" s="2482"/>
      <c r="P14" s="3473"/>
      <c r="Q14" s="530">
        <f t="shared" si="6"/>
        <v>111</v>
      </c>
      <c r="R14" s="664" t="s">
        <v>18</v>
      </c>
      <c r="S14" s="665">
        <f t="shared" si="0"/>
        <v>100</v>
      </c>
      <c r="T14" s="664" t="s">
        <v>18</v>
      </c>
      <c r="U14" s="665">
        <f t="shared" si="1"/>
        <v>100</v>
      </c>
      <c r="V14" s="664" t="s">
        <v>18</v>
      </c>
      <c r="W14" s="665">
        <f t="shared" si="2"/>
        <v>100</v>
      </c>
      <c r="X14" s="666"/>
      <c r="Y14" s="3366"/>
      <c r="Z14" s="50">
        <f t="shared" si="7"/>
        <v>111</v>
      </c>
      <c r="AA14" s="50">
        <f t="shared" si="3"/>
        <v>1</v>
      </c>
      <c r="AB14" s="50">
        <f t="shared" si="4"/>
        <v>1</v>
      </c>
      <c r="AC14" s="50">
        <f t="shared" si="5"/>
        <v>1</v>
      </c>
    </row>
    <row r="15" spans="1:29" ht="85.5">
      <c r="A15" s="379" t="s">
        <v>1684</v>
      </c>
      <c r="B15" s="58" t="s">
        <v>1251</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7"/>
      <c r="M15" s="2482"/>
      <c r="N15" s="2482"/>
      <c r="O15" s="2482"/>
      <c r="P15" s="3471" t="s">
        <v>1685</v>
      </c>
      <c r="Q15" s="1262" t="str">
        <f t="shared" si="6"/>
        <v>居住社区成熟度</v>
      </c>
      <c r="R15" s="667" t="s">
        <v>18</v>
      </c>
      <c r="S15" s="668">
        <f t="shared" si="0"/>
        <v>100</v>
      </c>
      <c r="T15" s="667" t="s">
        <v>18</v>
      </c>
      <c r="U15" s="668">
        <f t="shared" si="1"/>
        <v>100</v>
      </c>
      <c r="V15" s="667" t="s">
        <v>18</v>
      </c>
      <c r="W15" s="668">
        <f t="shared" si="2"/>
        <v>100</v>
      </c>
      <c r="X15" s="1264"/>
      <c r="Y15" s="3464" t="s">
        <v>1685</v>
      </c>
      <c r="Z15" s="1263" t="str">
        <f t="shared" si="7"/>
        <v>居住社区成熟度</v>
      </c>
      <c r="AA15" s="1263">
        <f t="shared" si="3"/>
        <v>1</v>
      </c>
      <c r="AB15" s="1263">
        <f t="shared" si="4"/>
        <v>1</v>
      </c>
      <c r="AC15" s="1263">
        <f t="shared" si="5"/>
        <v>1</v>
      </c>
    </row>
    <row r="16" spans="1:29" ht="15">
      <c r="A16" s="367"/>
      <c r="B16" s="385"/>
      <c r="C16" s="386" t="s">
        <v>3420</v>
      </c>
      <c r="D16" s="387"/>
      <c r="E16" s="386" t="s">
        <v>3420</v>
      </c>
      <c r="F16" s="387"/>
      <c r="G16" s="386" t="s">
        <v>3420</v>
      </c>
      <c r="H16" s="389"/>
      <c r="I16" s="386" t="s">
        <v>3420</v>
      </c>
      <c r="J16" s="387"/>
      <c r="K16" s="1751"/>
      <c r="L16" s="2487"/>
      <c r="M16" s="2482"/>
      <c r="N16" s="2482"/>
      <c r="O16" s="2482"/>
      <c r="P16" s="3472"/>
      <c r="Q16" s="1262"/>
      <c r="R16" s="667"/>
      <c r="S16" s="668"/>
      <c r="T16" s="667"/>
      <c r="U16" s="668"/>
      <c r="V16" s="667"/>
      <c r="W16" s="668"/>
      <c r="X16" s="1264"/>
      <c r="Y16" s="3465"/>
      <c r="Z16" s="1263"/>
      <c r="AA16" s="1263">
        <v>1</v>
      </c>
      <c r="AB16" s="1263">
        <v>1</v>
      </c>
      <c r="AC16" s="1263">
        <v>1</v>
      </c>
    </row>
    <row r="17" spans="1:29" ht="71.25">
      <c r="A17" s="367"/>
      <c r="B17" s="390" t="s">
        <v>1253</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7"/>
      <c r="M17" s="2482"/>
      <c r="N17" s="2482"/>
      <c r="O17" s="2482"/>
      <c r="P17" s="3472"/>
      <c r="Q17" s="1262" t="str">
        <f>B17</f>
        <v>交通便捷度</v>
      </c>
      <c r="R17" s="667" t="s">
        <v>18</v>
      </c>
      <c r="S17" s="668">
        <f>F17</f>
        <v>100</v>
      </c>
      <c r="T17" s="667" t="s">
        <v>18</v>
      </c>
      <c r="U17" s="668">
        <f>H17</f>
        <v>100</v>
      </c>
      <c r="V17" s="667" t="s">
        <v>18</v>
      </c>
      <c r="W17" s="668">
        <f>J17</f>
        <v>100</v>
      </c>
      <c r="X17" s="1264"/>
      <c r="Y17" s="3465"/>
      <c r="Z17" s="1263" t="str">
        <f>Q17</f>
        <v>交通便捷度</v>
      </c>
      <c r="AA17" s="1263">
        <f t="shared" si="3"/>
        <v>1</v>
      </c>
      <c r="AB17" s="1263">
        <f t="shared" si="4"/>
        <v>1</v>
      </c>
      <c r="AC17" s="1263">
        <f t="shared" si="5"/>
        <v>1</v>
      </c>
    </row>
    <row r="18" spans="1:29" ht="15">
      <c r="A18" s="367"/>
      <c r="B18" s="395"/>
      <c r="C18" s="386" t="s">
        <v>3420</v>
      </c>
      <c r="D18" s="389"/>
      <c r="E18" s="386" t="s">
        <v>3420</v>
      </c>
      <c r="F18" s="389"/>
      <c r="G18" s="386" t="s">
        <v>3420</v>
      </c>
      <c r="H18" s="387"/>
      <c r="I18" s="386" t="s">
        <v>3420</v>
      </c>
      <c r="J18" s="387"/>
      <c r="K18" s="1751"/>
      <c r="L18" s="2487"/>
      <c r="M18" s="2482"/>
      <c r="N18" s="2482"/>
      <c r="O18" s="2482"/>
      <c r="P18" s="3472"/>
      <c r="Q18" s="1262"/>
      <c r="R18" s="667"/>
      <c r="S18" s="668"/>
      <c r="T18" s="667"/>
      <c r="U18" s="668"/>
      <c r="V18" s="667"/>
      <c r="W18" s="668"/>
      <c r="X18" s="1264"/>
      <c r="Y18" s="3465"/>
      <c r="Z18" s="1263"/>
      <c r="AA18" s="1263">
        <v>1</v>
      </c>
      <c r="AB18" s="1263">
        <v>1</v>
      </c>
      <c r="AC18" s="1263">
        <v>1</v>
      </c>
    </row>
    <row r="19" spans="1:29" ht="42.75">
      <c r="A19" s="367"/>
      <c r="B19" s="390" t="s">
        <v>1252</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87"/>
      <c r="M19" s="2482"/>
      <c r="N19" s="2482"/>
      <c r="O19" s="2482"/>
      <c r="P19" s="3472"/>
      <c r="Q19" s="1262" t="str">
        <f>B19</f>
        <v>公共配套设施</v>
      </c>
      <c r="R19" s="667" t="s">
        <v>18</v>
      </c>
      <c r="S19" s="668">
        <f>F19</f>
        <v>100</v>
      </c>
      <c r="T19" s="667" t="s">
        <v>18</v>
      </c>
      <c r="U19" s="668">
        <f>H19</f>
        <v>100</v>
      </c>
      <c r="V19" s="667" t="s">
        <v>18</v>
      </c>
      <c r="W19" s="668">
        <f>J19</f>
        <v>100</v>
      </c>
      <c r="X19" s="1264"/>
      <c r="Y19" s="3465"/>
      <c r="Z19" s="1263" t="str">
        <f>Q19</f>
        <v>公共配套设施</v>
      </c>
      <c r="AA19" s="1263">
        <f t="shared" si="3"/>
        <v>1</v>
      </c>
      <c r="AB19" s="1263">
        <f t="shared" si="4"/>
        <v>1</v>
      </c>
      <c r="AC19" s="1263">
        <f t="shared" si="5"/>
        <v>1</v>
      </c>
    </row>
    <row r="20" spans="1:29" ht="15">
      <c r="A20" s="367"/>
      <c r="B20" s="395"/>
      <c r="C20" s="386" t="s">
        <v>3418</v>
      </c>
      <c r="D20" s="387"/>
      <c r="E20" s="386" t="s">
        <v>3418</v>
      </c>
      <c r="F20" s="387"/>
      <c r="G20" s="386" t="s">
        <v>3418</v>
      </c>
      <c r="H20" s="387"/>
      <c r="I20" s="386" t="s">
        <v>3418</v>
      </c>
      <c r="J20" s="387"/>
      <c r="K20" s="1751"/>
      <c r="L20" s="2487"/>
      <c r="M20" s="2482"/>
      <c r="N20" s="2482"/>
      <c r="O20" s="2482"/>
      <c r="P20" s="3472"/>
      <c r="Q20" s="1262"/>
      <c r="R20" s="667"/>
      <c r="S20" s="668"/>
      <c r="T20" s="667"/>
      <c r="U20" s="668"/>
      <c r="V20" s="667"/>
      <c r="W20" s="668"/>
      <c r="X20" s="1264"/>
      <c r="Y20" s="3465"/>
      <c r="Z20" s="1263"/>
      <c r="AA20" s="1263">
        <v>1</v>
      </c>
      <c r="AB20" s="1263">
        <v>1</v>
      </c>
      <c r="AC20" s="1263">
        <v>1</v>
      </c>
    </row>
    <row r="21" spans="1:29" ht="28.5">
      <c r="A21" s="367"/>
      <c r="B21" s="586" t="s">
        <v>1254</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2</v>
      </c>
      <c r="L21" s="2487"/>
      <c r="M21" s="2482"/>
      <c r="N21" s="2482"/>
      <c r="O21" s="2482"/>
      <c r="P21" s="3472"/>
      <c r="Q21" s="1262" t="str">
        <f>B21</f>
        <v>基础设施水平</v>
      </c>
      <c r="R21" s="667" t="s">
        <v>14</v>
      </c>
      <c r="S21" s="668">
        <f>F21</f>
        <v>100</v>
      </c>
      <c r="T21" s="667" t="s">
        <v>14</v>
      </c>
      <c r="U21" s="668">
        <f>H21</f>
        <v>100</v>
      </c>
      <c r="V21" s="667" t="s">
        <v>14</v>
      </c>
      <c r="W21" s="668">
        <f>J21</f>
        <v>100</v>
      </c>
      <c r="X21" s="1264"/>
      <c r="Y21" s="3465"/>
      <c r="Z21" s="1263" t="str">
        <f>Q21</f>
        <v>基础设施水平</v>
      </c>
      <c r="AA21" s="1263">
        <f t="shared" ref="AA21" si="8">D21/F21</f>
        <v>1</v>
      </c>
      <c r="AB21" s="1263">
        <f t="shared" ref="AB21" si="9">D21/H21</f>
        <v>1</v>
      </c>
      <c r="AC21" s="1263">
        <f t="shared" ref="AC21" si="10">D21/J21</f>
        <v>1</v>
      </c>
    </row>
    <row r="22" spans="1:29" ht="15">
      <c r="A22" s="367"/>
      <c r="B22" s="586"/>
      <c r="C22" s="1753" t="s">
        <v>3410</v>
      </c>
      <c r="D22" s="387"/>
      <c r="E22" s="1753" t="s">
        <v>3410</v>
      </c>
      <c r="F22" s="387"/>
      <c r="G22" s="1753" t="s">
        <v>3410</v>
      </c>
      <c r="H22" s="387"/>
      <c r="I22" s="1753" t="s">
        <v>3410</v>
      </c>
      <c r="J22" s="387"/>
      <c r="K22" s="1757"/>
      <c r="L22" s="2487"/>
      <c r="M22" s="2482"/>
      <c r="N22" s="2482"/>
      <c r="O22" s="2482"/>
      <c r="P22" s="3472"/>
      <c r="Q22" s="1262"/>
      <c r="R22" s="667"/>
      <c r="S22" s="668"/>
      <c r="T22" s="667"/>
      <c r="U22" s="668"/>
      <c r="V22" s="667"/>
      <c r="W22" s="668"/>
      <c r="X22" s="1264"/>
      <c r="Y22" s="3465"/>
      <c r="Z22" s="1263"/>
      <c r="AA22" s="1263">
        <v>1</v>
      </c>
      <c r="AB22" s="1263">
        <v>1</v>
      </c>
      <c r="AC22" s="1263">
        <v>1</v>
      </c>
    </row>
    <row r="23" spans="1:29" ht="42.75">
      <c r="A23" s="367"/>
      <c r="B23" s="390" t="s">
        <v>1255</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3</v>
      </c>
      <c r="L23" s="2487"/>
      <c r="M23" s="2482"/>
      <c r="N23" s="2482"/>
      <c r="O23" s="2482"/>
      <c r="P23" s="3472"/>
      <c r="Q23" s="1262" t="str">
        <f>B23</f>
        <v>自然及人文环境</v>
      </c>
      <c r="R23" s="667" t="s">
        <v>18</v>
      </c>
      <c r="S23" s="668">
        <f>F23</f>
        <v>100</v>
      </c>
      <c r="T23" s="667" t="s">
        <v>18</v>
      </c>
      <c r="U23" s="668">
        <f>H23</f>
        <v>100</v>
      </c>
      <c r="V23" s="667" t="s">
        <v>18</v>
      </c>
      <c r="W23" s="668">
        <f>J23</f>
        <v>100</v>
      </c>
      <c r="X23" s="1264"/>
      <c r="Y23" s="3465"/>
      <c r="Z23" s="1263" t="str">
        <f>Q23</f>
        <v>自然及人文环境</v>
      </c>
      <c r="AA23" s="1263">
        <f>D23/F23</f>
        <v>1</v>
      </c>
      <c r="AB23" s="1263">
        <f>D23/H23</f>
        <v>1</v>
      </c>
      <c r="AC23" s="1263">
        <f>D23/J23</f>
        <v>1</v>
      </c>
    </row>
    <row r="24" spans="1:29" ht="15">
      <c r="A24" s="367"/>
      <c r="B24" s="395"/>
      <c r="C24" s="386" t="s">
        <v>3419</v>
      </c>
      <c r="D24" s="387"/>
      <c r="E24" s="386" t="s">
        <v>3419</v>
      </c>
      <c r="F24" s="387"/>
      <c r="G24" s="386" t="s">
        <v>3419</v>
      </c>
      <c r="H24" s="387"/>
      <c r="I24" s="386" t="s">
        <v>3419</v>
      </c>
      <c r="J24" s="387"/>
      <c r="K24" s="1751"/>
      <c r="L24" s="2487"/>
      <c r="M24" s="2482"/>
      <c r="N24" s="2482"/>
      <c r="O24" s="2482"/>
      <c r="P24" s="3472"/>
      <c r="Q24" s="1262"/>
      <c r="R24" s="667"/>
      <c r="S24" s="668"/>
      <c r="T24" s="667"/>
      <c r="U24" s="668"/>
      <c r="V24" s="667"/>
      <c r="W24" s="668"/>
      <c r="X24" s="1264"/>
      <c r="Y24" s="3465"/>
      <c r="Z24" s="1263"/>
      <c r="AA24" s="1263">
        <v>1</v>
      </c>
      <c r="AB24" s="1263">
        <v>1</v>
      </c>
      <c r="AC24" s="1263">
        <v>1</v>
      </c>
    </row>
    <row r="25" spans="1:29" ht="15">
      <c r="A25" s="367"/>
      <c r="B25" s="364" t="s">
        <v>1686</v>
      </c>
      <c r="C25" s="399"/>
      <c r="D25" s="374">
        <v>100</v>
      </c>
      <c r="E25" s="1758"/>
      <c r="F25" s="374">
        <f>SUMIF(86:86,E25,87:87)-SUMIF(86:86,C25,87:87)+100</f>
        <v>100</v>
      </c>
      <c r="G25" s="1759"/>
      <c r="H25" s="374">
        <f>SUMIF(86:86,G25,87:87)-SUMIF(86:86,C25,87:87)+100</f>
        <v>100</v>
      </c>
      <c r="I25" s="1759"/>
      <c r="J25" s="374">
        <f>SUMIF(86:86,I25,87:87)-SUMIF(86:86,C25,87:87)+100</f>
        <v>100</v>
      </c>
      <c r="K25" s="365"/>
      <c r="L25" s="2487"/>
      <c r="M25" s="2482"/>
      <c r="N25" s="2482"/>
      <c r="O25" s="2482"/>
      <c r="P25" s="347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65"/>
      <c r="Z25" s="1263" t="str">
        <f>Q25</f>
        <v>楼层-1</v>
      </c>
      <c r="AA25" s="1263">
        <f t="shared" ref="AA25:AA46" si="15">D25/F25</f>
        <v>1</v>
      </c>
      <c r="AB25" s="1263">
        <f t="shared" ref="AB25:AB46" si="16">D25/H25</f>
        <v>1</v>
      </c>
      <c r="AC25" s="1263">
        <f t="shared" ref="AC25:AC46" si="17">D25/J25</f>
        <v>1</v>
      </c>
    </row>
    <row r="26" spans="1:29" ht="15">
      <c r="A26" s="367"/>
      <c r="B26" s="364" t="s">
        <v>1687</v>
      </c>
      <c r="C26" s="399"/>
      <c r="D26" s="374">
        <v>100</v>
      </c>
      <c r="E26" s="1758"/>
      <c r="F26" s="374">
        <f>SUMIF(88:88,E26,89:89)-SUMIF(88:88,C26,89:89)+100</f>
        <v>100</v>
      </c>
      <c r="G26" s="1759"/>
      <c r="H26" s="374">
        <f>SUMIF(88:88,G26,89:89)-SUMIF(88:88,C26,89:89)+100</f>
        <v>100</v>
      </c>
      <c r="I26" s="1759"/>
      <c r="J26" s="374">
        <f>SUMIF(88:88,I26,89:89)-SUMIF(88:88,C26,89:89)+100</f>
        <v>100</v>
      </c>
      <c r="K26" s="365"/>
      <c r="L26" s="2487"/>
      <c r="M26" s="2482"/>
      <c r="N26" s="2482"/>
      <c r="O26" s="2482"/>
      <c r="P26" s="3472"/>
      <c r="Q26" s="1262" t="str">
        <f t="shared" si="11"/>
        <v>朝向</v>
      </c>
      <c r="R26" s="667" t="s">
        <v>18</v>
      </c>
      <c r="S26" s="668">
        <f t="shared" si="12"/>
        <v>100</v>
      </c>
      <c r="T26" s="667" t="s">
        <v>18</v>
      </c>
      <c r="U26" s="668">
        <f t="shared" si="13"/>
        <v>100</v>
      </c>
      <c r="V26" s="667" t="s">
        <v>18</v>
      </c>
      <c r="W26" s="668">
        <f t="shared" si="14"/>
        <v>100</v>
      </c>
      <c r="X26" s="1264"/>
      <c r="Y26" s="3465"/>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6"/>
      <c r="L27" s="2483"/>
      <c r="M27" s="2435"/>
      <c r="N27" s="2435"/>
      <c r="O27" s="2435"/>
      <c r="P27" s="3472"/>
      <c r="Q27" s="530">
        <f t="shared" si="11"/>
        <v>111</v>
      </c>
      <c r="R27" s="664" t="s">
        <v>18</v>
      </c>
      <c r="S27" s="665">
        <f t="shared" si="12"/>
        <v>100</v>
      </c>
      <c r="T27" s="664" t="s">
        <v>18</v>
      </c>
      <c r="U27" s="665">
        <f t="shared" si="13"/>
        <v>100</v>
      </c>
      <c r="V27" s="664" t="s">
        <v>18</v>
      </c>
      <c r="W27" s="665">
        <f t="shared" si="14"/>
        <v>100</v>
      </c>
      <c r="X27" s="666"/>
      <c r="Y27" s="3465"/>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87"/>
      <c r="M28" s="2482"/>
      <c r="N28" s="2482"/>
      <c r="O28" s="2482"/>
      <c r="P28" s="3472"/>
      <c r="Q28" s="1262">
        <f t="shared" si="11"/>
        <v>111</v>
      </c>
      <c r="R28" s="667" t="s">
        <v>18</v>
      </c>
      <c r="S28" s="668">
        <f t="shared" si="12"/>
        <v>100</v>
      </c>
      <c r="T28" s="667" t="s">
        <v>18</v>
      </c>
      <c r="U28" s="668">
        <f t="shared" si="13"/>
        <v>100</v>
      </c>
      <c r="V28" s="667" t="s">
        <v>18</v>
      </c>
      <c r="W28" s="668">
        <f t="shared" si="14"/>
        <v>100</v>
      </c>
      <c r="X28" s="1264"/>
      <c r="Y28" s="346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7"/>
      <c r="M29" s="2482"/>
      <c r="N29" s="2482"/>
      <c r="O29" s="2482"/>
      <c r="P29" s="3472"/>
      <c r="Q29" s="1262">
        <f t="shared" si="11"/>
        <v>111</v>
      </c>
      <c r="R29" s="667" t="s">
        <v>18</v>
      </c>
      <c r="S29" s="668">
        <f t="shared" si="12"/>
        <v>100</v>
      </c>
      <c r="T29" s="667" t="s">
        <v>18</v>
      </c>
      <c r="U29" s="668">
        <f t="shared" si="13"/>
        <v>100</v>
      </c>
      <c r="V29" s="667" t="s">
        <v>18</v>
      </c>
      <c r="W29" s="668">
        <f t="shared" si="14"/>
        <v>100</v>
      </c>
      <c r="X29" s="1264"/>
      <c r="Y29" s="346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7"/>
      <c r="M30" s="2482"/>
      <c r="N30" s="2482"/>
      <c r="O30" s="2482"/>
      <c r="P30" s="3472"/>
      <c r="Q30" s="1262">
        <f t="shared" si="11"/>
        <v>111</v>
      </c>
      <c r="R30" s="667" t="s">
        <v>18</v>
      </c>
      <c r="S30" s="668">
        <f t="shared" si="12"/>
        <v>100</v>
      </c>
      <c r="T30" s="667" t="s">
        <v>18</v>
      </c>
      <c r="U30" s="668">
        <f t="shared" si="13"/>
        <v>100</v>
      </c>
      <c r="V30" s="667" t="s">
        <v>18</v>
      </c>
      <c r="W30" s="668">
        <f t="shared" si="14"/>
        <v>100</v>
      </c>
      <c r="X30" s="1264"/>
      <c r="Y30" s="3465"/>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7"/>
      <c r="M31" s="2482"/>
      <c r="N31" s="2482"/>
      <c r="O31" s="2482"/>
      <c r="P31" s="3472"/>
      <c r="Q31" s="1262">
        <f t="shared" si="11"/>
        <v>111</v>
      </c>
      <c r="R31" s="667" t="s">
        <v>18</v>
      </c>
      <c r="S31" s="668">
        <f t="shared" si="12"/>
        <v>100</v>
      </c>
      <c r="T31" s="667" t="s">
        <v>18</v>
      </c>
      <c r="U31" s="668">
        <f t="shared" si="13"/>
        <v>100</v>
      </c>
      <c r="V31" s="667" t="s">
        <v>18</v>
      </c>
      <c r="W31" s="668">
        <f t="shared" si="14"/>
        <v>100</v>
      </c>
      <c r="X31" s="1264"/>
      <c r="Y31" s="3465"/>
      <c r="Z31" s="1263">
        <f t="shared" si="18"/>
        <v>111</v>
      </c>
      <c r="AA31" s="1263">
        <f t="shared" si="15"/>
        <v>1</v>
      </c>
      <c r="AB31" s="1263">
        <f t="shared" si="16"/>
        <v>1</v>
      </c>
      <c r="AC31" s="1263">
        <f t="shared" si="17"/>
        <v>1</v>
      </c>
    </row>
    <row r="32" spans="1:29" ht="15">
      <c r="A32" s="379" t="s">
        <v>1688</v>
      </c>
      <c r="B32" s="60" t="s">
        <v>1689</v>
      </c>
      <c r="C32" s="1762" t="s">
        <v>4384</v>
      </c>
      <c r="D32" s="405">
        <v>100</v>
      </c>
      <c r="E32" s="1762" t="s">
        <v>4124</v>
      </c>
      <c r="F32" s="400">
        <f>SUMIF(100:100,E32,101:101)-SUMIF(100:100,C32,101:101)+100</f>
        <v>110</v>
      </c>
      <c r="G32" s="1762" t="s">
        <v>4124</v>
      </c>
      <c r="H32" s="405">
        <f>SUMIF(100:100,G32,101:101)-SUMIF(100:100,C32,101:101)+100</f>
        <v>110</v>
      </c>
      <c r="I32" s="1762" t="s">
        <v>4124</v>
      </c>
      <c r="J32" s="374">
        <f>SUMIF(100:100,I32,101:101)-SUMIF(100:100,C32,101:101)+100</f>
        <v>110</v>
      </c>
      <c r="K32" s="365">
        <v>10</v>
      </c>
      <c r="L32" s="2487"/>
      <c r="M32" s="2482"/>
      <c r="N32" s="2482"/>
      <c r="O32" s="2482"/>
      <c r="P32" s="3466" t="s">
        <v>1690</v>
      </c>
      <c r="Q32" s="1262" t="str">
        <f t="shared" si="11"/>
        <v>建筑类型</v>
      </c>
      <c r="R32" s="667" t="s">
        <v>18</v>
      </c>
      <c r="S32" s="668">
        <f t="shared" si="12"/>
        <v>110</v>
      </c>
      <c r="T32" s="667" t="s">
        <v>18</v>
      </c>
      <c r="U32" s="668">
        <f t="shared" si="13"/>
        <v>110</v>
      </c>
      <c r="V32" s="667" t="s">
        <v>18</v>
      </c>
      <c r="W32" s="668">
        <f t="shared" si="14"/>
        <v>110</v>
      </c>
      <c r="X32" s="1264"/>
      <c r="Y32" s="3469" t="s">
        <v>1690</v>
      </c>
      <c r="Z32" s="1263" t="str">
        <f t="shared" si="18"/>
        <v>建筑类型</v>
      </c>
      <c r="AA32" s="1263">
        <f t="shared" si="15"/>
        <v>0.90909090909090906</v>
      </c>
      <c r="AB32" s="1263">
        <f t="shared" si="16"/>
        <v>0.90909090909090906</v>
      </c>
      <c r="AC32" s="1263">
        <f t="shared" si="17"/>
        <v>0.90909090909090906</v>
      </c>
    </row>
    <row r="33" spans="1:29" s="408" customFormat="1" ht="15">
      <c r="A33" s="406"/>
      <c r="B33" s="364" t="s">
        <v>1691</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6"/>
      <c r="L33" s="2486"/>
      <c r="M33" s="2488"/>
      <c r="N33" s="2488"/>
      <c r="O33" s="2488"/>
      <c r="P33" s="3467"/>
      <c r="Q33" s="531" t="str">
        <f t="shared" si="11"/>
        <v>项目建筑规模</v>
      </c>
      <c r="R33" s="669" t="s">
        <v>18</v>
      </c>
      <c r="S33" s="670">
        <f t="shared" si="12"/>
        <v>100</v>
      </c>
      <c r="T33" s="669" t="s">
        <v>18</v>
      </c>
      <c r="U33" s="670">
        <f t="shared" si="13"/>
        <v>100</v>
      </c>
      <c r="V33" s="669" t="s">
        <v>18</v>
      </c>
      <c r="W33" s="670">
        <f t="shared" si="14"/>
        <v>100</v>
      </c>
      <c r="X33" s="671"/>
      <c r="Y33" s="3469"/>
      <c r="Z33" s="672" t="str">
        <f t="shared" si="18"/>
        <v>项目建筑规模</v>
      </c>
      <c r="AA33" s="1263">
        <f t="shared" si="15"/>
        <v>1</v>
      </c>
      <c r="AB33" s="1263">
        <f t="shared" si="16"/>
        <v>1</v>
      </c>
      <c r="AC33" s="1263">
        <f t="shared" si="17"/>
        <v>1</v>
      </c>
    </row>
    <row r="34" spans="1:29" ht="15">
      <c r="A34" s="409"/>
      <c r="B34" s="364" t="s">
        <v>1692</v>
      </c>
      <c r="C34" s="399" t="s">
        <v>3397</v>
      </c>
      <c r="D34" s="374">
        <v>100</v>
      </c>
      <c r="E34" s="399" t="s">
        <v>3397</v>
      </c>
      <c r="F34" s="400">
        <f>SUMIF(105:105,E34,106:106)-SUMIF(105:105,C34,106:106)+100</f>
        <v>100</v>
      </c>
      <c r="G34" s="399" t="s">
        <v>3397</v>
      </c>
      <c r="H34" s="374">
        <f>SUMIF(105:105,G34,106:106)-SUMIF(105:105,C34,106:106)+100</f>
        <v>100</v>
      </c>
      <c r="I34" s="399" t="s">
        <v>3397</v>
      </c>
      <c r="J34" s="374">
        <f>SUMIF(105:105,I34,106:106)-SUMIF(105:105,C34,106:106)+100</f>
        <v>100</v>
      </c>
      <c r="K34" s="365">
        <v>1</v>
      </c>
      <c r="L34" s="2487"/>
      <c r="M34" s="2482"/>
      <c r="N34" s="2482"/>
      <c r="O34" s="2482"/>
      <c r="P34" s="3467"/>
      <c r="Q34" s="1262" t="str">
        <f t="shared" si="11"/>
        <v>建筑结构</v>
      </c>
      <c r="R34" s="667" t="s">
        <v>18</v>
      </c>
      <c r="S34" s="668">
        <f t="shared" si="12"/>
        <v>100</v>
      </c>
      <c r="T34" s="667" t="s">
        <v>18</v>
      </c>
      <c r="U34" s="668">
        <f t="shared" si="13"/>
        <v>100</v>
      </c>
      <c r="V34" s="667" t="s">
        <v>18</v>
      </c>
      <c r="W34" s="668">
        <f t="shared" si="14"/>
        <v>100</v>
      </c>
      <c r="X34" s="1264"/>
      <c r="Y34" s="3469"/>
      <c r="Z34" s="1263" t="str">
        <f t="shared" si="18"/>
        <v>建筑结构</v>
      </c>
      <c r="AA34" s="1263">
        <f t="shared" si="15"/>
        <v>1</v>
      </c>
      <c r="AB34" s="1263">
        <f t="shared" si="16"/>
        <v>1</v>
      </c>
      <c r="AC34" s="1263">
        <f t="shared" si="17"/>
        <v>1</v>
      </c>
    </row>
    <row r="35" spans="1:29" ht="15">
      <c r="A35" s="409"/>
      <c r="B35" s="364" t="s">
        <v>1693</v>
      </c>
      <c r="C35" s="1758" t="s">
        <v>4370</v>
      </c>
      <c r="D35" s="374">
        <v>100</v>
      </c>
      <c r="E35" s="1758" t="s">
        <v>4370</v>
      </c>
      <c r="F35" s="400">
        <f>SUMIF(107:107,E35,108:108)-SUMIF(107:107,C35,108:108)+100</f>
        <v>100</v>
      </c>
      <c r="G35" s="1758" t="s">
        <v>4275</v>
      </c>
      <c r="H35" s="374">
        <f>SUMIF(107:107,G35,108:108)-SUMIF(107:107,C35,108:108)+100</f>
        <v>95</v>
      </c>
      <c r="I35" s="1758" t="s">
        <v>4126</v>
      </c>
      <c r="J35" s="374">
        <f>SUMIF(107:107,I35,108:108)-SUMIF(107:107,C35,108:108)+100</f>
        <v>105</v>
      </c>
      <c r="K35" s="365">
        <v>5</v>
      </c>
      <c r="L35" s="2487"/>
      <c r="M35" s="2482"/>
      <c r="N35" s="2482"/>
      <c r="O35" s="2482"/>
      <c r="P35" s="3467"/>
      <c r="Q35" s="1262" t="str">
        <f t="shared" si="11"/>
        <v>建筑品质</v>
      </c>
      <c r="R35" s="667" t="s">
        <v>18</v>
      </c>
      <c r="S35" s="668">
        <f t="shared" si="12"/>
        <v>100</v>
      </c>
      <c r="T35" s="667" t="s">
        <v>18</v>
      </c>
      <c r="U35" s="668">
        <f t="shared" si="13"/>
        <v>95</v>
      </c>
      <c r="V35" s="667" t="s">
        <v>18</v>
      </c>
      <c r="W35" s="668">
        <f t="shared" si="14"/>
        <v>105</v>
      </c>
      <c r="X35" s="1264"/>
      <c r="Y35" s="3469"/>
      <c r="Z35" s="1263" t="str">
        <f t="shared" si="18"/>
        <v>建筑品质</v>
      </c>
      <c r="AA35" s="1263">
        <f t="shared" si="15"/>
        <v>1</v>
      </c>
      <c r="AB35" s="1263">
        <f t="shared" si="16"/>
        <v>1.0526315789473684</v>
      </c>
      <c r="AC35" s="1263">
        <f t="shared" si="17"/>
        <v>0.95238095238095233</v>
      </c>
    </row>
    <row r="36" spans="1:29" ht="15">
      <c r="A36" s="409"/>
      <c r="B36" s="364" t="s">
        <v>1694</v>
      </c>
      <c r="C36" s="1758" t="s">
        <v>3403</v>
      </c>
      <c r="D36" s="374">
        <v>100</v>
      </c>
      <c r="E36" s="1758" t="s">
        <v>3403</v>
      </c>
      <c r="F36" s="400">
        <f>SUMIF(109:109,E36,110:110)-SUMIF(109:109,C36,110:110)+100</f>
        <v>100</v>
      </c>
      <c r="G36" s="1758" t="s">
        <v>3403</v>
      </c>
      <c r="H36" s="374">
        <f>SUMIF(109:109,G36,110:110)-SUMIF(109:109,C36,110:110)+100</f>
        <v>100</v>
      </c>
      <c r="I36" s="1758" t="s">
        <v>3403</v>
      </c>
      <c r="J36" s="374">
        <f>SUMIF(109:109,I36,110:110)-SUMIF(109:109,C36,110:110)+100</f>
        <v>100</v>
      </c>
      <c r="K36" s="365">
        <v>1</v>
      </c>
      <c r="L36" s="2487"/>
      <c r="M36" s="2482"/>
      <c r="N36" s="2482"/>
      <c r="O36" s="2482"/>
      <c r="P36" s="3467"/>
      <c r="Q36" s="1262" t="str">
        <f t="shared" si="11"/>
        <v>公共部分装修</v>
      </c>
      <c r="R36" s="667" t="s">
        <v>18</v>
      </c>
      <c r="S36" s="668">
        <f t="shared" si="12"/>
        <v>100</v>
      </c>
      <c r="T36" s="667" t="s">
        <v>18</v>
      </c>
      <c r="U36" s="668">
        <f t="shared" si="13"/>
        <v>100</v>
      </c>
      <c r="V36" s="667" t="s">
        <v>18</v>
      </c>
      <c r="W36" s="668">
        <f t="shared" si="14"/>
        <v>100</v>
      </c>
      <c r="X36" s="1264"/>
      <c r="Y36" s="3469"/>
      <c r="Z36" s="1263" t="str">
        <f t="shared" si="18"/>
        <v>公共部分装修</v>
      </c>
      <c r="AA36" s="1263">
        <f t="shared" si="15"/>
        <v>1</v>
      </c>
      <c r="AB36" s="1263">
        <f t="shared" si="16"/>
        <v>1</v>
      </c>
      <c r="AC36" s="1263">
        <f t="shared" si="17"/>
        <v>1</v>
      </c>
    </row>
    <row r="37" spans="1:29" s="102" customFormat="1" ht="15">
      <c r="A37" s="410"/>
      <c r="B37" s="364" t="s">
        <v>1695</v>
      </c>
      <c r="C37" s="411">
        <f>'数据-取费表'!N6</f>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3"/>
      <c r="M37" s="2435"/>
      <c r="N37" s="2435"/>
      <c r="O37" s="2435"/>
      <c r="P37" s="3467"/>
      <c r="Q37" s="530" t="str">
        <f t="shared" si="11"/>
        <v>成新度</v>
      </c>
      <c r="R37" s="664" t="s">
        <v>18</v>
      </c>
      <c r="S37" s="665">
        <f t="shared" si="12"/>
        <v>100</v>
      </c>
      <c r="T37" s="664" t="s">
        <v>18</v>
      </c>
      <c r="U37" s="665">
        <f t="shared" si="13"/>
        <v>100</v>
      </c>
      <c r="V37" s="664" t="s">
        <v>18</v>
      </c>
      <c r="W37" s="665">
        <f t="shared" si="14"/>
        <v>100</v>
      </c>
      <c r="X37" s="666"/>
      <c r="Y37" s="3469"/>
      <c r="Z37" s="50" t="str">
        <f t="shared" si="18"/>
        <v>成新度</v>
      </c>
      <c r="AA37" s="50">
        <f t="shared" si="15"/>
        <v>1</v>
      </c>
      <c r="AB37" s="50">
        <f t="shared" si="16"/>
        <v>1</v>
      </c>
      <c r="AC37" s="50">
        <f t="shared" si="17"/>
        <v>1</v>
      </c>
    </row>
    <row r="38" spans="1:29" ht="15">
      <c r="A38" s="409"/>
      <c r="B38" s="364" t="s">
        <v>1696</v>
      </c>
      <c r="C38" s="1758" t="s">
        <v>4368</v>
      </c>
      <c r="D38" s="374">
        <v>100</v>
      </c>
      <c r="E38" s="1758" t="s">
        <v>4368</v>
      </c>
      <c r="F38" s="400">
        <f>SUMIF(114:114,E38,115:115)-SUMIF(114:114,C38,115:115)+100</f>
        <v>100</v>
      </c>
      <c r="G38" s="1758" t="s">
        <v>3416</v>
      </c>
      <c r="H38" s="374">
        <f>SUMIF(114:114,G38,115:115)-SUMIF(114:114,C38,115:115)+100</f>
        <v>95</v>
      </c>
      <c r="I38" s="1758" t="s">
        <v>4368</v>
      </c>
      <c r="J38" s="374">
        <f>SUMIF(114:114,I38,115:115)-SUMIF(114:114,C38,115:115)+100</f>
        <v>100</v>
      </c>
      <c r="K38" s="365">
        <v>5</v>
      </c>
      <c r="L38" s="2487"/>
      <c r="M38" s="2482"/>
      <c r="N38" s="2482"/>
      <c r="O38" s="2482"/>
      <c r="P38" s="3467" t="s">
        <v>1690</v>
      </c>
      <c r="Q38" s="1262" t="str">
        <f t="shared" si="11"/>
        <v>物业管理</v>
      </c>
      <c r="R38" s="667" t="s">
        <v>18</v>
      </c>
      <c r="S38" s="668">
        <f t="shared" si="12"/>
        <v>100</v>
      </c>
      <c r="T38" s="667" t="s">
        <v>18</v>
      </c>
      <c r="U38" s="668">
        <f t="shared" si="13"/>
        <v>95</v>
      </c>
      <c r="V38" s="667" t="s">
        <v>18</v>
      </c>
      <c r="W38" s="668">
        <f t="shared" si="14"/>
        <v>100</v>
      </c>
      <c r="X38" s="1264"/>
      <c r="Y38" s="3469" t="s">
        <v>1690</v>
      </c>
      <c r="Z38" s="1263" t="str">
        <f t="shared" si="18"/>
        <v>物业管理</v>
      </c>
      <c r="AA38" s="1263">
        <f t="shared" si="15"/>
        <v>1</v>
      </c>
      <c r="AB38" s="1263">
        <f t="shared" si="16"/>
        <v>1.0526315789473684</v>
      </c>
      <c r="AC38" s="1263">
        <f t="shared" si="17"/>
        <v>1</v>
      </c>
    </row>
    <row r="39" spans="1:29" ht="15">
      <c r="A39" s="409"/>
      <c r="B39" s="364" t="s">
        <v>1697</v>
      </c>
      <c r="C39" s="1758" t="s">
        <v>3410</v>
      </c>
      <c r="D39" s="374">
        <v>100</v>
      </c>
      <c r="E39" s="1758" t="s">
        <v>3410</v>
      </c>
      <c r="F39" s="400">
        <f>SUMIF(116:116,E39,117:117)-SUMIF(116:116,C39,117:117)+100</f>
        <v>100</v>
      </c>
      <c r="G39" s="1758" t="s">
        <v>3410</v>
      </c>
      <c r="H39" s="374">
        <f>SUMIF(116:116,G39,117:117)-SUMIF(116:116,C39,117:117)+100</f>
        <v>100</v>
      </c>
      <c r="I39" s="1758" t="s">
        <v>3410</v>
      </c>
      <c r="J39" s="374">
        <f>SUMIF(116:116,I39,117:117)-SUMIF(116:116,C39,117:117)+100</f>
        <v>100</v>
      </c>
      <c r="K39" s="365">
        <v>1</v>
      </c>
      <c r="L39" s="2487"/>
      <c r="M39" s="2482"/>
      <c r="N39" s="2482"/>
      <c r="O39" s="2482"/>
      <c r="P39" s="3467"/>
      <c r="Q39" s="1262" t="str">
        <f t="shared" si="11"/>
        <v>市政基础设施</v>
      </c>
      <c r="R39" s="667" t="s">
        <v>18</v>
      </c>
      <c r="S39" s="668">
        <f t="shared" si="12"/>
        <v>100</v>
      </c>
      <c r="T39" s="667" t="s">
        <v>18</v>
      </c>
      <c r="U39" s="668">
        <f t="shared" si="13"/>
        <v>100</v>
      </c>
      <c r="V39" s="667" t="s">
        <v>18</v>
      </c>
      <c r="W39" s="668">
        <f t="shared" si="14"/>
        <v>100</v>
      </c>
      <c r="X39" s="1264"/>
      <c r="Y39" s="3469"/>
      <c r="Z39" s="1263" t="str">
        <f t="shared" si="18"/>
        <v>市政基础设施</v>
      </c>
      <c r="AA39" s="1263">
        <f t="shared" si="15"/>
        <v>1</v>
      </c>
      <c r="AB39" s="1263">
        <f t="shared" si="16"/>
        <v>1</v>
      </c>
      <c r="AC39" s="1263">
        <f t="shared" si="17"/>
        <v>1</v>
      </c>
    </row>
    <row r="40" spans="1:29" ht="15">
      <c r="A40" s="409"/>
      <c r="B40" s="364" t="s">
        <v>1698</v>
      </c>
      <c r="C40" s="1758" t="s">
        <v>3408</v>
      </c>
      <c r="D40" s="374">
        <v>100</v>
      </c>
      <c r="E40" s="1758" t="s">
        <v>3408</v>
      </c>
      <c r="F40" s="400">
        <f>SUMIF(118:118,E40,119:119)-SUMIF(118:118,C40,119:119)+100</f>
        <v>100</v>
      </c>
      <c r="G40" s="1758" t="s">
        <v>3408</v>
      </c>
      <c r="H40" s="374">
        <f>SUMIF(118:118,G40,119:119)-SUMIF(118:118,C40,119:119)+100</f>
        <v>100</v>
      </c>
      <c r="I40" s="1758" t="s">
        <v>3408</v>
      </c>
      <c r="J40" s="374">
        <f>SUMIF(118:118,I40,119:119)-SUMIF(118:118,C40,119:119)+100</f>
        <v>100</v>
      </c>
      <c r="K40" s="365">
        <v>2</v>
      </c>
      <c r="L40" s="2487"/>
      <c r="M40" s="2482"/>
      <c r="N40" s="2482"/>
      <c r="O40" s="2482"/>
      <c r="P40" s="3467"/>
      <c r="Q40" s="1262" t="str">
        <f t="shared" si="11"/>
        <v>房型</v>
      </c>
      <c r="R40" s="667" t="s">
        <v>18</v>
      </c>
      <c r="S40" s="668">
        <f t="shared" si="12"/>
        <v>100</v>
      </c>
      <c r="T40" s="667" t="s">
        <v>18</v>
      </c>
      <c r="U40" s="668">
        <f t="shared" si="13"/>
        <v>100</v>
      </c>
      <c r="V40" s="667" t="s">
        <v>18</v>
      </c>
      <c r="W40" s="668">
        <f t="shared" si="14"/>
        <v>100</v>
      </c>
      <c r="X40" s="1264"/>
      <c r="Y40" s="3469"/>
      <c r="Z40" s="1263" t="str">
        <f t="shared" si="18"/>
        <v>房型</v>
      </c>
      <c r="AA40" s="1263">
        <f t="shared" si="15"/>
        <v>1</v>
      </c>
      <c r="AB40" s="1263">
        <f t="shared" si="16"/>
        <v>1</v>
      </c>
      <c r="AC40" s="1263">
        <f t="shared" si="17"/>
        <v>1</v>
      </c>
    </row>
    <row r="41" spans="1:29" s="408" customFormat="1" ht="28.5" hidden="1">
      <c r="A41" s="406"/>
      <c r="B41" s="364" t="s">
        <v>1699</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6"/>
      <c r="M41" s="2488"/>
      <c r="N41" s="2488"/>
      <c r="O41" s="2488"/>
      <c r="P41" s="3467"/>
      <c r="Q41" s="531" t="str">
        <f t="shared" si="11"/>
        <v>单套/主力户型建筑面积</v>
      </c>
      <c r="R41" s="669" t="s">
        <v>18</v>
      </c>
      <c r="S41" s="670">
        <f t="shared" si="12"/>
        <v>100</v>
      </c>
      <c r="T41" s="669" t="s">
        <v>18</v>
      </c>
      <c r="U41" s="670">
        <f t="shared" si="13"/>
        <v>100</v>
      </c>
      <c r="V41" s="669" t="s">
        <v>18</v>
      </c>
      <c r="W41" s="670">
        <f t="shared" si="14"/>
        <v>100</v>
      </c>
      <c r="X41" s="671"/>
      <c r="Y41" s="3469"/>
      <c r="Z41" s="672" t="str">
        <f t="shared" si="18"/>
        <v>单套/主力户型建筑面积</v>
      </c>
      <c r="AA41" s="1263">
        <f t="shared" si="15"/>
        <v>1</v>
      </c>
      <c r="AB41" s="1263">
        <f t="shared" si="16"/>
        <v>1</v>
      </c>
      <c r="AC41" s="1263">
        <f t="shared" si="17"/>
        <v>1</v>
      </c>
    </row>
    <row r="42" spans="1:29" ht="15">
      <c r="A42" s="409"/>
      <c r="B42" s="364" t="s">
        <v>1700</v>
      </c>
      <c r="C42" s="1758" t="s">
        <v>3403</v>
      </c>
      <c r="D42" s="374">
        <v>100</v>
      </c>
      <c r="E42" s="1758" t="s">
        <v>3403</v>
      </c>
      <c r="F42" s="400">
        <f>SUMIF(122:122,E42,123:123)-SUMIF(122:122,C42,123:123)+100</f>
        <v>100</v>
      </c>
      <c r="G42" s="1758" t="s">
        <v>4386</v>
      </c>
      <c r="H42" s="374">
        <f>SUMIF(122:122,G42,123:123)-SUMIF(122:122,C42,123:123)+100</f>
        <v>98</v>
      </c>
      <c r="I42" s="1758" t="s">
        <v>3403</v>
      </c>
      <c r="J42" s="374">
        <f>SUMIF(122:122,I42,123:123)-SUMIF(122:122,C42,123:123)+100</f>
        <v>100</v>
      </c>
      <c r="K42" s="365">
        <v>2</v>
      </c>
      <c r="L42" s="2487"/>
      <c r="M42" s="2482"/>
      <c r="N42" s="2482"/>
      <c r="O42" s="2482"/>
      <c r="P42" s="3467"/>
      <c r="Q42" s="1262" t="str">
        <f t="shared" si="11"/>
        <v>内部装修</v>
      </c>
      <c r="R42" s="667" t="s">
        <v>18</v>
      </c>
      <c r="S42" s="668">
        <f t="shared" si="12"/>
        <v>100</v>
      </c>
      <c r="T42" s="667" t="s">
        <v>18</v>
      </c>
      <c r="U42" s="668">
        <f t="shared" si="13"/>
        <v>98</v>
      </c>
      <c r="V42" s="667" t="s">
        <v>18</v>
      </c>
      <c r="W42" s="668">
        <f t="shared" si="14"/>
        <v>100</v>
      </c>
      <c r="X42" s="1264"/>
      <c r="Y42" s="3469"/>
      <c r="Z42" s="1263" t="str">
        <f t="shared" si="18"/>
        <v>内部装修</v>
      </c>
      <c r="AA42" s="1263">
        <f t="shared" si="15"/>
        <v>1</v>
      </c>
      <c r="AB42" s="1263">
        <f t="shared" si="16"/>
        <v>1.0204081632653061</v>
      </c>
      <c r="AC42" s="1263">
        <f t="shared" si="17"/>
        <v>1</v>
      </c>
    </row>
    <row r="43" spans="1:29" ht="15">
      <c r="A43" s="409"/>
      <c r="B43" s="364" t="s">
        <v>1701</v>
      </c>
      <c r="C43" s="1758" t="s">
        <v>3420</v>
      </c>
      <c r="D43" s="374">
        <v>100</v>
      </c>
      <c r="E43" s="1758" t="s">
        <v>3420</v>
      </c>
      <c r="F43" s="400">
        <f>SUMIF(124:124,E43,125:125)-SUMIF(124:124,C43,125:125)+100</f>
        <v>100</v>
      </c>
      <c r="G43" s="1758" t="s">
        <v>3420</v>
      </c>
      <c r="H43" s="374">
        <f>SUMIF(124:124,G43,125:125)-SUMIF(124:124,C43,125:125)+100</f>
        <v>100</v>
      </c>
      <c r="I43" s="1758" t="s">
        <v>3420</v>
      </c>
      <c r="J43" s="374">
        <f>SUMIF(124:124,I43,125:125)-SUMIF(124:124,C43,125:125)+100</f>
        <v>100</v>
      </c>
      <c r="K43" s="365">
        <v>1</v>
      </c>
      <c r="L43" s="2487"/>
      <c r="M43" s="2482"/>
      <c r="N43" s="2482"/>
      <c r="O43" s="2482"/>
      <c r="P43" s="3467"/>
      <c r="Q43" s="1262" t="str">
        <f t="shared" si="11"/>
        <v>内部装修维护情况</v>
      </c>
      <c r="R43" s="667" t="s">
        <v>18</v>
      </c>
      <c r="S43" s="668">
        <f t="shared" si="12"/>
        <v>100</v>
      </c>
      <c r="T43" s="667" t="s">
        <v>18</v>
      </c>
      <c r="U43" s="668">
        <f t="shared" si="13"/>
        <v>100</v>
      </c>
      <c r="V43" s="667" t="s">
        <v>18</v>
      </c>
      <c r="W43" s="668">
        <f t="shared" si="14"/>
        <v>100</v>
      </c>
      <c r="X43" s="1264"/>
      <c r="Y43" s="3469"/>
      <c r="Z43" s="1263" t="str">
        <f t="shared" si="18"/>
        <v>内部装修维护情况</v>
      </c>
      <c r="AA43" s="1263">
        <f t="shared" si="15"/>
        <v>1</v>
      </c>
      <c r="AB43" s="1263">
        <f t="shared" si="16"/>
        <v>1</v>
      </c>
      <c r="AC43" s="1263">
        <f t="shared" si="17"/>
        <v>1</v>
      </c>
    </row>
    <row r="44" spans="1:29" s="102" customFormat="1" ht="55.5">
      <c r="A44" s="410"/>
      <c r="B44" s="3190" t="s">
        <v>4371</v>
      </c>
      <c r="C44" s="3261" t="s">
        <v>4372</v>
      </c>
      <c r="D44" s="119">
        <v>100</v>
      </c>
      <c r="E44" s="3262" t="s">
        <v>4373</v>
      </c>
      <c r="F44" s="364">
        <f>SUMIF(126:126,E44,127:127)-SUMIF(126:126,C44,127:127)+100</f>
        <v>100</v>
      </c>
      <c r="G44" s="3262" t="s">
        <v>4374</v>
      </c>
      <c r="H44" s="119">
        <f>SUMIF(126:126,G44,127:127)-SUMIF(126:126,C44,127:127)+100</f>
        <v>100</v>
      </c>
      <c r="I44" s="3261" t="s">
        <v>4375</v>
      </c>
      <c r="J44" s="119">
        <f>SUMIF(126:126,I44,127:127)-SUMIF(126:126,C44,127:127)+100</f>
        <v>100</v>
      </c>
      <c r="K44" s="1746"/>
      <c r="L44" s="2483"/>
      <c r="M44" s="2435"/>
      <c r="N44" s="2435"/>
      <c r="O44" s="2435"/>
      <c r="P44" s="3467"/>
      <c r="Q44" s="530" t="str">
        <f t="shared" si="11"/>
        <v>车位情况</v>
      </c>
      <c r="R44" s="664" t="s">
        <v>18</v>
      </c>
      <c r="S44" s="665">
        <f t="shared" si="12"/>
        <v>100</v>
      </c>
      <c r="T44" s="664" t="s">
        <v>18</v>
      </c>
      <c r="U44" s="665">
        <f t="shared" si="13"/>
        <v>100</v>
      </c>
      <c r="V44" s="664" t="s">
        <v>18</v>
      </c>
      <c r="W44" s="665">
        <f t="shared" si="14"/>
        <v>100</v>
      </c>
      <c r="X44" s="666"/>
      <c r="Y44" s="3469"/>
      <c r="Z44" s="50" t="str">
        <f t="shared" si="18"/>
        <v>车位情况</v>
      </c>
      <c r="AA44" s="50">
        <f t="shared" si="15"/>
        <v>1</v>
      </c>
      <c r="AB44" s="50">
        <f t="shared" si="16"/>
        <v>1</v>
      </c>
      <c r="AC44" s="50">
        <f t="shared" si="17"/>
        <v>1</v>
      </c>
    </row>
    <row r="45" spans="1:29" ht="15">
      <c r="A45" s="409"/>
      <c r="B45" s="3190"/>
      <c r="C45" s="3263"/>
      <c r="D45" s="374">
        <v>100</v>
      </c>
      <c r="E45" s="3263" t="s">
        <v>4387</v>
      </c>
      <c r="F45" s="400">
        <f>SUMIF(128:128,E45,129:129)-SUMIF(128:128,C45,129:129)+100</f>
        <v>100</v>
      </c>
      <c r="G45" s="3263" t="s">
        <v>4388</v>
      </c>
      <c r="H45" s="374">
        <f>SUMIF(128:128,G45,129:129)-SUMIF(128:128,C45,129:129)+100</f>
        <v>100</v>
      </c>
      <c r="I45" s="3263" t="s">
        <v>4389</v>
      </c>
      <c r="J45" s="374">
        <f>SUMIF(128:128,I45,129:129)-SUMIF(128:128,C45,129:129)+100</f>
        <v>100</v>
      </c>
      <c r="K45" s="1746"/>
      <c r="L45" s="2487"/>
      <c r="M45" s="2482"/>
      <c r="N45" s="2482"/>
      <c r="O45" s="2482"/>
      <c r="P45" s="3467"/>
      <c r="Q45" s="1262">
        <f t="shared" si="11"/>
        <v>0</v>
      </c>
      <c r="R45" s="667" t="s">
        <v>18</v>
      </c>
      <c r="S45" s="668">
        <f t="shared" si="12"/>
        <v>100</v>
      </c>
      <c r="T45" s="667" t="s">
        <v>18</v>
      </c>
      <c r="U45" s="668">
        <f t="shared" si="13"/>
        <v>100</v>
      </c>
      <c r="V45" s="667" t="s">
        <v>18</v>
      </c>
      <c r="W45" s="668">
        <f t="shared" si="14"/>
        <v>100</v>
      </c>
      <c r="X45" s="1264"/>
      <c r="Y45" s="3469"/>
      <c r="Z45" s="1263">
        <f t="shared" si="18"/>
        <v>0</v>
      </c>
      <c r="AA45" s="1263">
        <f t="shared" si="15"/>
        <v>1</v>
      </c>
      <c r="AB45" s="1263">
        <f t="shared" si="16"/>
        <v>1</v>
      </c>
      <c r="AC45" s="1263">
        <f t="shared" si="17"/>
        <v>1</v>
      </c>
    </row>
    <row r="46" spans="1:29" ht="15.75" thickBot="1">
      <c r="A46" s="415"/>
      <c r="B46" s="1747">
        <v>111</v>
      </c>
      <c r="C46" s="3263" t="s">
        <v>4379</v>
      </c>
      <c r="D46" s="377">
        <v>100</v>
      </c>
      <c r="E46" s="3264" t="s">
        <v>4380</v>
      </c>
      <c r="F46" s="378">
        <f>SUMIF(130:130,E46,131:131)-SUMIF(130:130,C46,131:131)+100</f>
        <v>100</v>
      </c>
      <c r="G46" s="3264" t="s">
        <v>4381</v>
      </c>
      <c r="H46" s="377">
        <f>SUMIF(130:130,G46,131:131)-SUMIF(130:130,C46,131:131)+100</f>
        <v>100</v>
      </c>
      <c r="I46" s="3264" t="s">
        <v>4382</v>
      </c>
      <c r="J46" s="377">
        <f>SUMIF(130:130,I46,131:131)-SUMIF(130:130,C46,131:131)+100</f>
        <v>100</v>
      </c>
      <c r="K46" s="1746"/>
      <c r="L46" s="2487"/>
      <c r="M46" s="2482"/>
      <c r="N46" s="2482"/>
      <c r="O46" s="2482"/>
      <c r="P46" s="3468"/>
      <c r="Q46" s="1262">
        <f t="shared" si="11"/>
        <v>111</v>
      </c>
      <c r="R46" s="667" t="s">
        <v>17</v>
      </c>
      <c r="S46" s="668">
        <f t="shared" si="12"/>
        <v>100</v>
      </c>
      <c r="T46" s="667" t="s">
        <v>17</v>
      </c>
      <c r="U46" s="668">
        <f t="shared" si="13"/>
        <v>100</v>
      </c>
      <c r="V46" s="667" t="s">
        <v>17</v>
      </c>
      <c r="W46" s="668">
        <f t="shared" si="14"/>
        <v>100</v>
      </c>
      <c r="X46" s="1264"/>
      <c r="Y46" s="3470"/>
      <c r="Z46" s="1263">
        <f t="shared" si="18"/>
        <v>111</v>
      </c>
      <c r="AA46" s="1263">
        <f t="shared" si="15"/>
        <v>1</v>
      </c>
      <c r="AB46" s="1263">
        <f t="shared" si="16"/>
        <v>1</v>
      </c>
      <c r="AC46" s="1263">
        <f t="shared" si="17"/>
        <v>1</v>
      </c>
    </row>
    <row r="47" spans="1:29" ht="15">
      <c r="A47" s="416" t="s">
        <v>1702</v>
      </c>
      <c r="B47" s="417"/>
      <c r="C47" s="1081" t="s">
        <v>16</v>
      </c>
      <c r="D47" s="418"/>
      <c r="E47" s="419">
        <v>9000</v>
      </c>
      <c r="F47" s="420"/>
      <c r="G47" s="419">
        <v>8200</v>
      </c>
      <c r="H47" s="422"/>
      <c r="I47" s="419">
        <v>12000</v>
      </c>
      <c r="J47" s="422"/>
      <c r="K47" s="1763"/>
      <c r="L47" s="2489"/>
      <c r="M47" s="2482"/>
      <c r="N47" s="2482"/>
      <c r="O47" s="2482"/>
      <c r="P47" s="3462" t="str">
        <f>A47</f>
        <v>成交单价（元/平方米）</v>
      </c>
      <c r="Q47" s="3462"/>
      <c r="R47" s="3463">
        <f>E47</f>
        <v>9000</v>
      </c>
      <c r="S47" s="3463"/>
      <c r="T47" s="3463">
        <f>G47</f>
        <v>8200</v>
      </c>
      <c r="U47" s="3463"/>
      <c r="V47" s="3463">
        <f>I47</f>
        <v>12000</v>
      </c>
      <c r="W47" s="3463"/>
      <c r="X47" s="385"/>
      <c r="Y47" s="673"/>
      <c r="Z47" s="385"/>
      <c r="AA47" s="385"/>
      <c r="AB47" s="385"/>
      <c r="AC47" s="385"/>
    </row>
    <row r="48" spans="1:29" ht="15.75" thickBot="1">
      <c r="A48" s="423" t="s">
        <v>1703</v>
      </c>
      <c r="B48" s="424"/>
      <c r="C48" s="1082">
        <f>R49</f>
        <v>8827</v>
      </c>
      <c r="D48" s="2137" t="s">
        <v>4376</v>
      </c>
      <c r="E48" s="1083">
        <f>R48</f>
        <v>7864</v>
      </c>
      <c r="F48" s="2138">
        <v>0.45</v>
      </c>
      <c r="G48" s="1082">
        <f>T48</f>
        <v>7945</v>
      </c>
      <c r="H48" s="2138">
        <v>0.1</v>
      </c>
      <c r="I48" s="1083">
        <f>V48</f>
        <v>9986</v>
      </c>
      <c r="J48" s="2138">
        <v>0.45</v>
      </c>
      <c r="K48" s="2139">
        <f>F48+H48+J48</f>
        <v>1</v>
      </c>
      <c r="L48" s="2489"/>
      <c r="M48" s="2482"/>
      <c r="N48" s="2482"/>
      <c r="O48" s="2482"/>
      <c r="P48" s="3462" t="str">
        <f>A48</f>
        <v>比较价值（元/平方米）</v>
      </c>
      <c r="Q48" s="3462"/>
      <c r="R48" s="3463">
        <f>IF(F1="售价",ROUND(PRODUCT(R47,AA7:AA46),0),ROUND(PRODUCT(R47,AA7:AA46),1))</f>
        <v>7864</v>
      </c>
      <c r="S48" s="3463"/>
      <c r="T48" s="3463">
        <f>IF(F1="售价",ROUND(PRODUCT(T47,AB7:AB46),0),ROUND(PRODUCT(T47,AB7:AB46),1))</f>
        <v>7945</v>
      </c>
      <c r="U48" s="3463"/>
      <c r="V48" s="3463">
        <f>IF(F1="售价",ROUND(PRODUCT(V47,AC7:AC46),0),ROUND(PRODUCT(V47,AC7:AC46),1))</f>
        <v>9986</v>
      </c>
      <c r="W48" s="3463"/>
      <c r="X48" s="385"/>
      <c r="Y48" s="385"/>
      <c r="Z48" s="385"/>
      <c r="AA48" s="385"/>
      <c r="AB48" s="385"/>
      <c r="AC48" s="385"/>
    </row>
    <row r="49" spans="1:29" ht="15.75" thickBot="1">
      <c r="A49" s="427" t="s">
        <v>1704</v>
      </c>
      <c r="B49" s="428"/>
      <c r="C49" s="1084">
        <f>R49</f>
        <v>8827</v>
      </c>
      <c r="D49" s="351"/>
      <c r="E49" s="351"/>
      <c r="F49" s="351"/>
      <c r="G49" s="351"/>
      <c r="H49" s="351"/>
      <c r="I49" s="351"/>
      <c r="J49" s="351"/>
      <c r="K49" s="1764"/>
      <c r="L49" s="2489"/>
      <c r="M49" s="2482"/>
      <c r="N49" s="2482"/>
      <c r="O49" s="2482"/>
      <c r="P49" s="3459" t="str">
        <f>A49</f>
        <v>估价对象XX用房的比较价值（楼面单价，元/平方米）</v>
      </c>
      <c r="Q49" s="3460"/>
      <c r="R49" s="3461">
        <f>IF(F1="售价",ROUND(IF(D48="简单平均",AVERAGE(R48:V48),R48*F48+T48*H48+V48*J48),0),ROUND(IF(D48="简单平均",AVERAGE(R48:V48),R48*F48+T48*H48+V48*J48),1))</f>
        <v>8827</v>
      </c>
      <c r="S49" s="3461"/>
      <c r="T49" s="3461"/>
      <c r="U49" s="3461"/>
      <c r="V49" s="3461"/>
      <c r="W49" s="3461"/>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1705</v>
      </c>
      <c r="D52" s="433"/>
      <c r="E52" s="434">
        <f>IF(E47&lt;E48,E48/E47-1,E47/E48-1)</f>
        <v>0.1444557477110886</v>
      </c>
      <c r="F52" s="435" t="str">
        <f>IF(OR(E52&gt;=0.3,E52&lt;=-0.3),"超过30%","")</f>
        <v/>
      </c>
      <c r="G52" s="434">
        <f>IF(G47&lt;G48,G48/G47-1,G47/G48-1)</f>
        <v>3.2095657646318498E-2</v>
      </c>
      <c r="H52" s="435" t="str">
        <f>IF(OR(G52&gt;=0.3,G52&lt;=-0.3),"超过30%","")</f>
        <v/>
      </c>
      <c r="I52" s="434">
        <f>IF(I47&lt;I48,I48/I47-1,I47/I48-1)</f>
        <v>0.20168235529741629</v>
      </c>
      <c r="J52" s="435" t="str">
        <f>IF(OR(I52&gt;=0.3,I52&lt;=-0.3),"超过30%","")</f>
        <v/>
      </c>
      <c r="K52" s="2494"/>
      <c r="L52" s="2490"/>
      <c r="M52" s="2482"/>
      <c r="N52" s="2482"/>
      <c r="O52" s="2482"/>
    </row>
    <row r="53" spans="1:29" ht="13.5" customHeight="1">
      <c r="A53" s="2482"/>
      <c r="B53" s="2482"/>
      <c r="C53" s="432" t="s">
        <v>1706</v>
      </c>
      <c r="D53" s="436"/>
      <c r="E53" s="434">
        <f>IF(E48&lt;G48,G48/E48-1,E48/G48-1)</f>
        <v>1.0300101729399769E-2</v>
      </c>
      <c r="F53" s="435" t="str">
        <f>IF(OR(E53&gt;=0.2,E53&lt;=-0.2),"超过20%","")</f>
        <v/>
      </c>
      <c r="G53" s="434">
        <f>IF(G48&lt;I48,I48/G48-1,G48/I48-1)</f>
        <v>0.25689112649465073</v>
      </c>
      <c r="H53" s="435" t="str">
        <f>IF(OR(G53&gt;=0.2,G53&lt;=-0.2),"超过20%","")</f>
        <v>超过20%</v>
      </c>
      <c r="I53" s="434">
        <f>IF(I48&lt;E48,E48/I48-1,I48/E48-1)</f>
        <v>0.26983723296032558</v>
      </c>
      <c r="J53" s="435" t="str">
        <f>IF(OR(I53&gt;=0.2,I53&lt;=-0.2),"超过20%","")</f>
        <v>超过20%</v>
      </c>
      <c r="K53" s="2494"/>
      <c r="L53" s="2490"/>
      <c r="M53" s="2482"/>
      <c r="N53" s="2482"/>
      <c r="O53" s="2482"/>
    </row>
    <row r="54" spans="1:29" s="437" customFormat="1" ht="13.5" customHeight="1">
      <c r="A54" s="2492"/>
      <c r="B54" s="2492"/>
      <c r="C54" s="432" t="s">
        <v>1707</v>
      </c>
      <c r="D54" s="436"/>
      <c r="E54" s="434">
        <f>IF(E47&lt;G47,G47/E47-1,E47/G47-1)</f>
        <v>9.7560975609756184E-2</v>
      </c>
      <c r="F54" s="435" t="str">
        <f>IF(OR(E54&gt;=0.3,E54&lt;=-0.3),"超过30%","")</f>
        <v/>
      </c>
      <c r="G54" s="434">
        <f>IF(G47&lt;I47,I47/G47-1,G47/I47-1)</f>
        <v>0.46341463414634143</v>
      </c>
      <c r="H54" s="435" t="str">
        <f>IF(OR(G54&gt;=0.3,G54&lt;=-0.3),"超过30%","")</f>
        <v>超过30%</v>
      </c>
      <c r="I54" s="434">
        <f>IF(I47&lt;E47,E47/I47-1,I47/E47-1)</f>
        <v>0.33333333333333326</v>
      </c>
      <c r="J54" s="435" t="str">
        <f>IF(OR(I54&gt;=0.3,I54&lt;=-0.3),"超过30%","")</f>
        <v>超过30%</v>
      </c>
      <c r="K54" s="2497"/>
      <c r="L54" s="2491"/>
      <c r="M54" s="2492"/>
      <c r="N54" s="2492"/>
      <c r="O54" s="2492"/>
      <c r="P54" s="1766"/>
    </row>
    <row r="55" spans="1:29" s="437" customFormat="1">
      <c r="A55" s="2492"/>
      <c r="B55" s="2495"/>
      <c r="C55" s="2496"/>
      <c r="D55" s="2492"/>
      <c r="E55" s="2492"/>
      <c r="F55" s="2492"/>
      <c r="G55" s="2492"/>
      <c r="H55" s="2492"/>
      <c r="I55" s="2492"/>
      <c r="J55" s="2492"/>
      <c r="K55" s="2497"/>
      <c r="L55" s="2491"/>
      <c r="M55" s="2492"/>
      <c r="N55" s="2492"/>
      <c r="O55" s="2492"/>
      <c r="P55" s="1766"/>
    </row>
    <row r="56" spans="1:29">
      <c r="A56" s="2482"/>
      <c r="B56" s="2495"/>
      <c r="C56" s="2496"/>
      <c r="D56" s="2482"/>
      <c r="E56" s="2482"/>
      <c r="F56" s="2482"/>
      <c r="G56" s="2482"/>
      <c r="H56" s="2482"/>
      <c r="I56" s="2482"/>
      <c r="J56" s="2482"/>
      <c r="K56" s="2494"/>
      <c r="L56" s="2490"/>
      <c r="M56" s="2482"/>
      <c r="N56" s="2482"/>
      <c r="O56" s="2482"/>
    </row>
    <row r="57" spans="1:29" ht="21.75" thickBot="1">
      <c r="A57" s="658" t="s">
        <v>1708</v>
      </c>
      <c r="B57" s="385"/>
      <c r="C57" s="659"/>
      <c r="D57" s="659"/>
      <c r="E57" s="659"/>
      <c r="F57" s="660"/>
      <c r="G57" s="660"/>
      <c r="H57" s="659"/>
      <c r="I57" s="659"/>
      <c r="J57" s="659"/>
      <c r="K57" s="887"/>
      <c r="L57" s="888"/>
      <c r="M57" s="886"/>
      <c r="N57" s="886"/>
      <c r="O57" s="886"/>
      <c r="P57" s="1767"/>
      <c r="Q57" s="439"/>
    </row>
    <row r="58" spans="1:29" s="442" customFormat="1" ht="15">
      <c r="A58" s="440" t="s">
        <v>1709</v>
      </c>
      <c r="B58" s="441"/>
      <c r="C58" s="1104" t="str">
        <f>YEAR(C7)&amp;"-"&amp;MONTH(C7)</f>
        <v>2023-12</v>
      </c>
      <c r="D58" s="1103">
        <f>EDATE(C58,-1)</f>
        <v>45231</v>
      </c>
      <c r="E58" s="1103">
        <f>EDATE(D58,-1)</f>
        <v>45200</v>
      </c>
      <c r="F58" s="1103">
        <f t="shared" ref="F58:O58" si="19">EDATE(E58,-1)</f>
        <v>45170</v>
      </c>
      <c r="G58" s="1103">
        <f t="shared" si="19"/>
        <v>45139</v>
      </c>
      <c r="H58" s="1103">
        <f t="shared" si="19"/>
        <v>45108</v>
      </c>
      <c r="I58" s="1103">
        <f t="shared" si="19"/>
        <v>45078</v>
      </c>
      <c r="J58" s="1103">
        <f t="shared" si="19"/>
        <v>45047</v>
      </c>
      <c r="K58" s="1103">
        <f t="shared" si="19"/>
        <v>45017</v>
      </c>
      <c r="L58" s="1103">
        <f t="shared" si="19"/>
        <v>44986</v>
      </c>
      <c r="M58" s="1103">
        <f t="shared" si="19"/>
        <v>44958</v>
      </c>
      <c r="N58" s="1103">
        <f t="shared" si="19"/>
        <v>44927</v>
      </c>
      <c r="O58" s="1103">
        <f t="shared" si="19"/>
        <v>44896</v>
      </c>
      <c r="P58" s="1099"/>
    </row>
    <row r="59" spans="1:29" s="102" customFormat="1" ht="15">
      <c r="A59" s="443"/>
      <c r="B59" s="1768"/>
      <c r="C59" s="1101">
        <v>100</v>
      </c>
      <c r="D59" s="445"/>
      <c r="E59" s="446"/>
      <c r="F59" s="446"/>
      <c r="G59" s="446"/>
      <c r="H59" s="446"/>
      <c r="I59" s="446"/>
      <c r="J59" s="446"/>
      <c r="K59" s="446"/>
      <c r="L59" s="446"/>
      <c r="M59" s="447"/>
      <c r="N59" s="446"/>
      <c r="O59" s="447"/>
      <c r="P59" s="1769"/>
    </row>
    <row r="60" spans="1:29" s="102" customFormat="1" ht="15.75" thickBot="1">
      <c r="A60" s="449" t="s">
        <v>1710</v>
      </c>
      <c r="B60" s="450"/>
      <c r="C60" s="451"/>
      <c r="D60" s="452"/>
      <c r="E60" s="452"/>
      <c r="F60" s="452"/>
      <c r="G60" s="452"/>
      <c r="H60" s="452"/>
      <c r="I60" s="452"/>
      <c r="J60" s="452"/>
      <c r="K60" s="452"/>
      <c r="L60" s="452"/>
      <c r="M60" s="453"/>
      <c r="N60" s="452"/>
      <c r="O60" s="453"/>
      <c r="P60" s="1769"/>
      <c r="Q60" s="439"/>
    </row>
    <row r="61" spans="1:29" s="102" customFormat="1" ht="15">
      <c r="A61" s="455" t="s">
        <v>1711</v>
      </c>
      <c r="B61" s="444"/>
      <c r="C61" s="456" t="s">
        <v>1712</v>
      </c>
      <c r="D61" s="3139" t="s">
        <v>3395</v>
      </c>
      <c r="E61" s="31"/>
      <c r="F61" s="31"/>
      <c r="G61" s="31"/>
      <c r="H61" s="31"/>
      <c r="I61" s="31"/>
      <c r="J61" s="31"/>
      <c r="K61" s="31"/>
      <c r="L61" s="457"/>
      <c r="M61" s="458"/>
      <c r="N61" s="878"/>
      <c r="O61" s="878"/>
      <c r="P61" s="1770"/>
      <c r="Q61" s="439"/>
    </row>
    <row r="62" spans="1:29" s="102" customFormat="1" ht="15.75" thickBot="1">
      <c r="A62" s="455"/>
      <c r="B62" s="444"/>
      <c r="C62" s="445">
        <v>100</v>
      </c>
      <c r="D62" s="446">
        <v>102</v>
      </c>
      <c r="E62" s="446"/>
      <c r="F62" s="446"/>
      <c r="G62" s="446"/>
      <c r="H62" s="446"/>
      <c r="I62" s="446"/>
      <c r="J62" s="446"/>
      <c r="K62" s="446"/>
      <c r="L62" s="446"/>
      <c r="M62" s="448"/>
      <c r="N62" s="878"/>
      <c r="O62" s="878"/>
      <c r="P62" s="1769"/>
      <c r="Q62" s="439"/>
    </row>
    <row r="63" spans="1:29">
      <c r="A63" s="379" t="s">
        <v>1713</v>
      </c>
      <c r="B63" s="460" t="s">
        <v>1679</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1682</v>
      </c>
      <c r="C65" s="513"/>
      <c r="D65" s="513"/>
      <c r="E65" s="513"/>
      <c r="F65" s="513"/>
      <c r="G65" s="513"/>
      <c r="H65" s="513"/>
      <c r="I65" s="513"/>
      <c r="J65" s="513"/>
      <c r="K65" s="513"/>
      <c r="L65" s="513"/>
      <c r="M65" s="513"/>
      <c r="N65" s="880"/>
      <c r="O65" s="880"/>
      <c r="P65" s="1771"/>
      <c r="Q65" s="439"/>
    </row>
    <row r="66" spans="1:17" ht="15.75" thickBot="1">
      <c r="A66" s="367"/>
      <c r="B66" s="474"/>
      <c r="C66" s="467"/>
      <c r="D66" s="467"/>
      <c r="E66" s="467"/>
      <c r="F66" s="467"/>
      <c r="G66" s="467"/>
      <c r="H66" s="467"/>
      <c r="I66" s="467"/>
      <c r="J66" s="467"/>
      <c r="K66" s="467"/>
      <c r="L66" s="467"/>
      <c r="M66" s="468"/>
      <c r="N66" s="880"/>
      <c r="O66" s="880"/>
      <c r="P66" s="1771"/>
      <c r="Q66" s="439"/>
    </row>
    <row r="67" spans="1:17" ht="15.75" thickTop="1">
      <c r="A67" s="367"/>
      <c r="B67" s="477" t="s">
        <v>1683</v>
      </c>
      <c r="C67" s="478" t="str">
        <f>C68&amp;"（含）"&amp;"-"&amp;D68</f>
        <v>0（含）-0.5</v>
      </c>
      <c r="D67" s="478" t="str">
        <f t="shared" ref="D67:L67" si="20">D68&amp;"（含）"&amp;"-"&amp;E68</f>
        <v>0.5（含）-1</v>
      </c>
      <c r="E67" s="478" t="str">
        <f t="shared" si="20"/>
        <v>1（含）-1.5</v>
      </c>
      <c r="F67" s="478" t="str">
        <f t="shared" si="20"/>
        <v>1.5（含）-2</v>
      </c>
      <c r="G67" s="478" t="str">
        <f t="shared" si="20"/>
        <v>2（含）-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1"/>
      <c r="Q67" s="439"/>
    </row>
    <row r="68" spans="1:17" ht="15">
      <c r="A68" s="367"/>
      <c r="B68" s="479"/>
      <c r="C68" s="480">
        <v>0</v>
      </c>
      <c r="D68" s="480">
        <v>0.5</v>
      </c>
      <c r="E68" s="480">
        <v>1</v>
      </c>
      <c r="F68" s="480">
        <v>1.5</v>
      </c>
      <c r="G68" s="480">
        <v>2</v>
      </c>
      <c r="H68" s="480"/>
      <c r="I68" s="480"/>
      <c r="J68" s="480"/>
      <c r="K68" s="481"/>
      <c r="L68" s="482"/>
      <c r="M68" s="483"/>
      <c r="N68" s="879"/>
      <c r="O68" s="879"/>
      <c r="P68" s="1771"/>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1684</v>
      </c>
      <c r="B76" s="460" t="s">
        <v>1714</v>
      </c>
      <c r="C76" s="504" t="s">
        <v>1715</v>
      </c>
      <c r="D76" s="504" t="s">
        <v>1716</v>
      </c>
      <c r="E76" s="504" t="s">
        <v>1717</v>
      </c>
      <c r="F76" s="504" t="s">
        <v>1718</v>
      </c>
      <c r="G76" s="504" t="s">
        <v>1719</v>
      </c>
      <c r="H76" s="461"/>
      <c r="I76" s="461"/>
      <c r="J76" s="461"/>
      <c r="K76" s="505"/>
      <c r="L76" s="506"/>
      <c r="M76" s="507"/>
      <c r="N76" s="879"/>
      <c r="O76" s="879"/>
      <c r="P76" s="1775"/>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1"/>
      <c r="Q77" s="439"/>
    </row>
    <row r="78" spans="1:17" ht="15.75" thickTop="1">
      <c r="A78" s="367"/>
      <c r="B78" s="469" t="s">
        <v>1720</v>
      </c>
      <c r="C78" s="509" t="s">
        <v>1715</v>
      </c>
      <c r="D78" s="509" t="s">
        <v>1716</v>
      </c>
      <c r="E78" s="509" t="s">
        <v>1717</v>
      </c>
      <c r="F78" s="509" t="s">
        <v>1718</v>
      </c>
      <c r="G78" s="509" t="s">
        <v>1719</v>
      </c>
      <c r="H78" s="470"/>
      <c r="I78" s="470"/>
      <c r="J78" s="470"/>
      <c r="K78" s="471"/>
      <c r="L78" s="472"/>
      <c r="M78" s="473"/>
      <c r="N78" s="879"/>
      <c r="O78" s="879"/>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1"/>
      <c r="Q79" s="439"/>
    </row>
    <row r="80" spans="1:17" ht="15.75" thickTop="1">
      <c r="A80" s="367"/>
      <c r="B80" s="469" t="s">
        <v>1721</v>
      </c>
      <c r="C80" s="509" t="s">
        <v>1715</v>
      </c>
      <c r="D80" s="509" t="s">
        <v>1716</v>
      </c>
      <c r="E80" s="509" t="s">
        <v>1717</v>
      </c>
      <c r="F80" s="509" t="s">
        <v>1718</v>
      </c>
      <c r="G80" s="509" t="s">
        <v>1719</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1254</v>
      </c>
      <c r="C82" s="470" t="s">
        <v>1722</v>
      </c>
      <c r="D82" s="470" t="s">
        <v>1723</v>
      </c>
      <c r="E82" s="470" t="s">
        <v>1724</v>
      </c>
      <c r="F82" s="470" t="s">
        <v>1725</v>
      </c>
      <c r="G82" s="470" t="s">
        <v>1726</v>
      </c>
      <c r="H82" s="470"/>
      <c r="I82" s="470"/>
      <c r="J82" s="470"/>
      <c r="K82" s="470"/>
      <c r="L82" s="470"/>
      <c r="M82" s="1063"/>
      <c r="N82" s="880"/>
      <c r="O82" s="880"/>
      <c r="P82" s="1771"/>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1"/>
      <c r="Q83" s="439"/>
    </row>
    <row r="84" spans="1:17" ht="15.75" thickTop="1">
      <c r="A84" s="367"/>
      <c r="B84" s="469" t="s">
        <v>1727</v>
      </c>
      <c r="C84" s="509" t="s">
        <v>1715</v>
      </c>
      <c r="D84" s="509" t="s">
        <v>1716</v>
      </c>
      <c r="E84" s="509" t="s">
        <v>1717</v>
      </c>
      <c r="F84" s="509" t="s">
        <v>1718</v>
      </c>
      <c r="G84" s="509" t="s">
        <v>1719</v>
      </c>
      <c r="H84" s="470"/>
      <c r="I84" s="470"/>
      <c r="J84" s="470"/>
      <c r="K84" s="471"/>
      <c r="L84" s="472"/>
      <c r="M84" s="473"/>
      <c r="N84" s="879"/>
      <c r="O84" s="879"/>
      <c r="P84" s="1771"/>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1"/>
      <c r="Q85" s="439"/>
    </row>
    <row r="86" spans="1:17" s="102" customFormat="1" ht="15.75" thickTop="1">
      <c r="A86" s="370"/>
      <c r="B86" s="469" t="s">
        <v>1728</v>
      </c>
      <c r="C86" s="485"/>
      <c r="D86" s="485"/>
      <c r="E86" s="485"/>
      <c r="F86" s="485"/>
      <c r="G86" s="485"/>
      <c r="H86" s="485"/>
      <c r="I86" s="485"/>
      <c r="J86" s="485"/>
      <c r="K86" s="485"/>
      <c r="L86" s="510"/>
      <c r="M86" s="511"/>
      <c r="N86" s="878"/>
      <c r="O86" s="878"/>
      <c r="P86" s="1771"/>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1"/>
      <c r="Q87" s="439"/>
    </row>
    <row r="88" spans="1:17" s="102" customFormat="1" ht="15.75" thickTop="1">
      <c r="A88" s="370"/>
      <c r="B88" s="469" t="s">
        <v>1729</v>
      </c>
      <c r="C88" s="485"/>
      <c r="D88" s="485"/>
      <c r="E88" s="485"/>
      <c r="F88" s="1776"/>
      <c r="G88" s="485"/>
      <c r="H88" s="485"/>
      <c r="I88" s="485"/>
      <c r="J88" s="485"/>
      <c r="K88" s="485"/>
      <c r="L88" s="485"/>
      <c r="M88" s="511"/>
      <c r="N88" s="878"/>
      <c r="O88" s="878"/>
      <c r="P88" s="1771"/>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1"/>
      <c r="Q89" s="439"/>
    </row>
    <row r="90" spans="1:17" s="408" customFormat="1" ht="15.75" thickTop="1">
      <c r="A90" s="484"/>
      <c r="B90" s="469">
        <f>B27</f>
        <v>111</v>
      </c>
      <c r="C90" s="485"/>
      <c r="D90" s="485"/>
      <c r="E90" s="485"/>
      <c r="F90" s="485"/>
      <c r="G90" s="485"/>
      <c r="H90" s="486"/>
      <c r="I90" s="486"/>
      <c r="J90" s="486"/>
      <c r="K90" s="486"/>
      <c r="L90" s="487"/>
      <c r="M90" s="488"/>
      <c r="N90" s="881"/>
      <c r="O90" s="881"/>
      <c r="P90" s="1772"/>
      <c r="Q90" s="490"/>
    </row>
    <row r="91" spans="1:17" s="408" customFormat="1" ht="15.75" thickBot="1">
      <c r="A91" s="484"/>
      <c r="B91" s="474"/>
      <c r="C91" s="491"/>
      <c r="D91" s="491"/>
      <c r="E91" s="491"/>
      <c r="F91" s="491"/>
      <c r="G91" s="491"/>
      <c r="H91" s="493"/>
      <c r="I91" s="493"/>
      <c r="J91" s="493"/>
      <c r="K91" s="493"/>
      <c r="L91" s="493"/>
      <c r="M91" s="494"/>
      <c r="N91" s="881"/>
      <c r="O91" s="881"/>
      <c r="P91" s="1772"/>
      <c r="Q91" s="490"/>
    </row>
    <row r="92" spans="1:17" ht="15.75" thickTop="1">
      <c r="A92" s="367"/>
      <c r="B92" s="469">
        <f>B28</f>
        <v>111</v>
      </c>
      <c r="C92" s="485"/>
      <c r="D92" s="485"/>
      <c r="E92" s="485"/>
      <c r="F92" s="485"/>
      <c r="G92" s="513"/>
      <c r="H92" s="513"/>
      <c r="I92" s="513"/>
      <c r="J92" s="513"/>
      <c r="K92" s="514"/>
      <c r="L92" s="515"/>
      <c r="M92" s="516"/>
      <c r="N92" s="879"/>
      <c r="O92" s="879"/>
      <c r="P92" s="1771"/>
      <c r="Q92" s="439"/>
    </row>
    <row r="93" spans="1:17" ht="15.75" thickBot="1">
      <c r="A93" s="367"/>
      <c r="B93" s="474"/>
      <c r="C93" s="491"/>
      <c r="D93" s="467"/>
      <c r="E93" s="467"/>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1688</v>
      </c>
      <c r="B100" s="460" t="s">
        <v>1730</v>
      </c>
      <c r="C100" s="3141" t="s">
        <v>4125</v>
      </c>
      <c r="D100" s="3141" t="s">
        <v>4385</v>
      </c>
      <c r="E100" s="3141"/>
      <c r="F100" s="3141"/>
      <c r="G100" s="462"/>
      <c r="H100" s="462"/>
      <c r="I100" s="462"/>
      <c r="J100" s="462"/>
      <c r="K100" s="463"/>
      <c r="L100" s="464"/>
      <c r="M100" s="465"/>
      <c r="N100" s="879"/>
      <c r="O100" s="879"/>
      <c r="P100" s="1771"/>
      <c r="Q100" s="439"/>
    </row>
    <row r="101" spans="1:17" ht="15.75" thickBot="1">
      <c r="A101" s="367"/>
      <c r="B101" s="474"/>
      <c r="C101" s="475">
        <v>100</v>
      </c>
      <c r="D101" s="475">
        <f t="shared" ref="D101:M101" si="25">C101-$K32</f>
        <v>90</v>
      </c>
      <c r="E101" s="475">
        <f t="shared" si="25"/>
        <v>80</v>
      </c>
      <c r="F101" s="475">
        <f t="shared" si="25"/>
        <v>70</v>
      </c>
      <c r="G101" s="475">
        <f t="shared" si="25"/>
        <v>60</v>
      </c>
      <c r="H101" s="475">
        <f t="shared" si="25"/>
        <v>50</v>
      </c>
      <c r="I101" s="475">
        <f t="shared" si="25"/>
        <v>40</v>
      </c>
      <c r="J101" s="475">
        <f t="shared" si="25"/>
        <v>30</v>
      </c>
      <c r="K101" s="475">
        <f t="shared" si="25"/>
        <v>20</v>
      </c>
      <c r="L101" s="475">
        <f t="shared" si="25"/>
        <v>10</v>
      </c>
      <c r="M101" s="475">
        <f t="shared" si="25"/>
        <v>0</v>
      </c>
      <c r="N101" s="880"/>
      <c r="O101" s="880"/>
      <c r="P101" s="1771"/>
      <c r="Q101" s="439"/>
    </row>
    <row r="102" spans="1:17" ht="15.75" thickTop="1">
      <c r="A102" s="367"/>
      <c r="B102" s="469" t="s">
        <v>1731</v>
      </c>
      <c r="C102" s="509" t="str">
        <f>C103&amp;"(含)"&amp;"-"&amp;D103</f>
        <v>0(含)-100000</v>
      </c>
      <c r="D102" s="509" t="str">
        <f t="shared" ref="D102:L102" si="26">D103&amp;"(含)"&amp;"-"&amp;E103</f>
        <v>100000(含)-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1"/>
      <c r="Q102" s="439"/>
    </row>
    <row r="103" spans="1:17" s="408" customFormat="1">
      <c r="A103" s="406"/>
      <c r="B103" s="523"/>
      <c r="C103" s="6">
        <v>0</v>
      </c>
      <c r="D103" s="6">
        <v>100000</v>
      </c>
      <c r="E103" s="6"/>
      <c r="F103" s="6"/>
      <c r="G103" s="6"/>
      <c r="H103" s="6"/>
      <c r="I103" s="6"/>
      <c r="J103" s="524"/>
      <c r="K103" s="524"/>
      <c r="L103" s="525"/>
      <c r="M103" s="526"/>
      <c r="N103" s="881"/>
      <c r="O103" s="881"/>
      <c r="P103" s="1772"/>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2"/>
      <c r="Q104" s="490"/>
    </row>
    <row r="105" spans="1:17" ht="15" thickTop="1">
      <c r="A105" s="409"/>
      <c r="B105" s="469" t="s">
        <v>1732</v>
      </c>
      <c r="C105" s="3142" t="s">
        <v>3398</v>
      </c>
      <c r="D105" s="485"/>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80"/>
      <c r="O106" s="880"/>
      <c r="P106" s="1771"/>
      <c r="Q106" s="439"/>
    </row>
    <row r="107" spans="1:17" ht="15" thickTop="1">
      <c r="A107" s="409"/>
      <c r="B107" s="469" t="s">
        <v>1733</v>
      </c>
      <c r="C107" s="3143" t="s">
        <v>3399</v>
      </c>
      <c r="D107" s="3143" t="s">
        <v>3400</v>
      </c>
      <c r="E107" s="3143" t="s">
        <v>3401</v>
      </c>
      <c r="F107" s="3143" t="s">
        <v>3402</v>
      </c>
      <c r="G107" s="513"/>
      <c r="H107" s="513"/>
      <c r="I107" s="513"/>
      <c r="J107" s="513"/>
      <c r="K107" s="514"/>
      <c r="L107" s="515"/>
      <c r="M107" s="516"/>
      <c r="N107" s="879"/>
      <c r="O107" s="879"/>
      <c r="P107" s="1771"/>
      <c r="Q107" s="439"/>
    </row>
    <row r="108" spans="1:17" ht="15.75"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80"/>
      <c r="O108" s="880"/>
      <c r="P108" s="1771"/>
      <c r="Q108" s="439"/>
    </row>
    <row r="109" spans="1:17" ht="15" thickTop="1">
      <c r="A109" s="409"/>
      <c r="B109" s="469" t="s">
        <v>1734</v>
      </c>
      <c r="C109" s="3142" t="s">
        <v>3404</v>
      </c>
      <c r="D109" s="3142" t="s">
        <v>3405</v>
      </c>
      <c r="E109" s="3142" t="s">
        <v>3406</v>
      </c>
      <c r="F109" s="3143" t="s">
        <v>3407</v>
      </c>
      <c r="G109" s="513"/>
      <c r="H109" s="513"/>
      <c r="I109" s="513"/>
      <c r="J109" s="513"/>
      <c r="K109" s="514"/>
      <c r="L109" s="515"/>
      <c r="M109" s="516"/>
      <c r="N109" s="879"/>
      <c r="O109" s="879"/>
      <c r="P109" s="1771"/>
      <c r="Q109" s="439"/>
    </row>
    <row r="110" spans="1:17" ht="15.75" thickBot="1">
      <c r="A110" s="367"/>
      <c r="B110" s="474"/>
      <c r="C110" s="475">
        <v>100</v>
      </c>
      <c r="D110" s="475">
        <f t="shared" ref="D110:M110" si="29">C110-$K36</f>
        <v>99</v>
      </c>
      <c r="E110" s="475">
        <f t="shared" si="29"/>
        <v>98</v>
      </c>
      <c r="F110" s="475">
        <f t="shared" si="29"/>
        <v>97</v>
      </c>
      <c r="G110" s="475">
        <f t="shared" si="29"/>
        <v>96</v>
      </c>
      <c r="H110" s="475">
        <f t="shared" si="29"/>
        <v>95</v>
      </c>
      <c r="I110" s="475">
        <f t="shared" si="29"/>
        <v>94</v>
      </c>
      <c r="J110" s="475">
        <f t="shared" si="29"/>
        <v>93</v>
      </c>
      <c r="K110" s="475">
        <f t="shared" si="29"/>
        <v>92</v>
      </c>
      <c r="L110" s="475">
        <f t="shared" si="29"/>
        <v>91</v>
      </c>
      <c r="M110" s="475">
        <f t="shared" si="29"/>
        <v>90</v>
      </c>
      <c r="N110" s="880"/>
      <c r="O110" s="880"/>
      <c r="P110" s="1771"/>
      <c r="Q110" s="439"/>
    </row>
    <row r="111" spans="1:17" s="408" customFormat="1" ht="15" thickTop="1">
      <c r="A111" s="406"/>
      <c r="B111" s="469" t="s">
        <v>1184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2"/>
      <c r="Q113" s="490"/>
    </row>
    <row r="114" spans="1:17" ht="15" thickTop="1">
      <c r="A114" s="409"/>
      <c r="B114" s="469" t="s">
        <v>1735</v>
      </c>
      <c r="C114" s="3142" t="s">
        <v>4369</v>
      </c>
      <c r="D114" s="3142" t="s">
        <v>3417</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5">
        <f t="shared" si="30"/>
        <v>50</v>
      </c>
      <c r="N115" s="880"/>
      <c r="O115" s="880"/>
      <c r="P115" s="1771"/>
      <c r="Q115" s="439"/>
    </row>
    <row r="116" spans="1:17" ht="15" thickTop="1">
      <c r="A116" s="409"/>
      <c r="B116" s="469" t="s">
        <v>1736</v>
      </c>
      <c r="C116" s="3142" t="s">
        <v>3411</v>
      </c>
      <c r="D116" s="3142" t="s">
        <v>3412</v>
      </c>
      <c r="E116" s="3142" t="s">
        <v>3413</v>
      </c>
      <c r="F116" s="3142" t="s">
        <v>3414</v>
      </c>
      <c r="G116" s="3142" t="s">
        <v>3415</v>
      </c>
      <c r="H116" s="513"/>
      <c r="I116" s="513"/>
      <c r="J116" s="513"/>
      <c r="K116" s="514"/>
      <c r="L116" s="515"/>
      <c r="M116" s="516"/>
      <c r="N116" s="879"/>
      <c r="O116" s="879"/>
      <c r="P116" s="1771"/>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1"/>
      <c r="Q117" s="439"/>
    </row>
    <row r="118" spans="1:17" ht="15" thickTop="1">
      <c r="A118" s="409"/>
      <c r="B118" s="469" t="s">
        <v>1737</v>
      </c>
      <c r="C118" s="3143" t="s">
        <v>3409</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1">C119-$K40</f>
        <v>98</v>
      </c>
      <c r="E119" s="475">
        <f t="shared" si="31"/>
        <v>96</v>
      </c>
      <c r="F119" s="475">
        <f t="shared" si="31"/>
        <v>94</v>
      </c>
      <c r="G119" s="475">
        <f t="shared" si="31"/>
        <v>92</v>
      </c>
      <c r="H119" s="475">
        <f t="shared" si="31"/>
        <v>90</v>
      </c>
      <c r="I119" s="475">
        <f t="shared" si="31"/>
        <v>88</v>
      </c>
      <c r="J119" s="475">
        <f t="shared" si="31"/>
        <v>86</v>
      </c>
      <c r="K119" s="475">
        <f t="shared" si="31"/>
        <v>84</v>
      </c>
      <c r="L119" s="475">
        <f t="shared" si="31"/>
        <v>82</v>
      </c>
      <c r="M119" s="475">
        <f t="shared" si="31"/>
        <v>80</v>
      </c>
      <c r="N119" s="880"/>
      <c r="O119" s="880"/>
      <c r="P119" s="1771"/>
      <c r="Q119" s="439"/>
    </row>
    <row r="120" spans="1:17" s="408" customFormat="1" ht="28.5" thickTop="1">
      <c r="A120" s="406"/>
      <c r="B120" s="469" t="s">
        <v>1699</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1738</v>
      </c>
      <c r="C122" s="3142" t="s">
        <v>3404</v>
      </c>
      <c r="D122" s="3142" t="s">
        <v>3405</v>
      </c>
      <c r="E122" s="3142" t="s">
        <v>3406</v>
      </c>
      <c r="F122" s="3143" t="s">
        <v>3407</v>
      </c>
      <c r="G122" s="513"/>
      <c r="H122" s="513"/>
      <c r="I122" s="513"/>
      <c r="J122" s="513"/>
      <c r="K122" s="514"/>
      <c r="L122" s="515"/>
      <c r="M122" s="516"/>
      <c r="N122" s="879"/>
      <c r="O122" s="879"/>
      <c r="P122" s="1771"/>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1"/>
      <c r="Q123" s="439"/>
    </row>
    <row r="124" spans="1:17" ht="15" thickTop="1">
      <c r="A124" s="409"/>
      <c r="B124" s="469" t="s">
        <v>1739</v>
      </c>
      <c r="C124" s="509" t="s">
        <v>1715</v>
      </c>
      <c r="D124" s="509" t="s">
        <v>1716</v>
      </c>
      <c r="E124" s="509" t="s">
        <v>1717</v>
      </c>
      <c r="F124" s="509" t="s">
        <v>1718</v>
      </c>
      <c r="G124" s="509" t="s">
        <v>1719</v>
      </c>
      <c r="H124" s="470"/>
      <c r="I124" s="470"/>
      <c r="J124" s="470"/>
      <c r="K124" s="471"/>
      <c r="L124" s="472"/>
      <c r="M124" s="473"/>
      <c r="N124" s="879"/>
      <c r="O124" s="879"/>
      <c r="P124" s="1772"/>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1"/>
      <c r="Q125" s="439"/>
    </row>
    <row r="126" spans="1:17" s="408" customFormat="1" ht="15" thickTop="1">
      <c r="A126" s="406"/>
      <c r="B126" s="469" t="str">
        <f>B44</f>
        <v>车位情况</v>
      </c>
      <c r="C126" s="3142" t="s">
        <v>4276</v>
      </c>
      <c r="D126" s="3142" t="s">
        <v>4277</v>
      </c>
      <c r="E126" s="485"/>
      <c r="F126" s="485"/>
      <c r="G126" s="485"/>
      <c r="H126" s="486"/>
      <c r="I126" s="486"/>
      <c r="J126" s="486"/>
      <c r="K126" s="486"/>
      <c r="L126" s="487"/>
      <c r="M126" s="488"/>
      <c r="N126" s="881"/>
      <c r="O126" s="881"/>
      <c r="P126" s="1772"/>
      <c r="Q126" s="490"/>
    </row>
    <row r="127" spans="1:17" s="408" customFormat="1" ht="15.75" thickBot="1">
      <c r="A127" s="484"/>
      <c r="B127" s="474"/>
      <c r="C127" s="491">
        <v>100</v>
      </c>
      <c r="D127" s="467"/>
      <c r="E127" s="467"/>
      <c r="F127" s="467"/>
      <c r="G127" s="491"/>
      <c r="H127" s="493"/>
      <c r="I127" s="493"/>
      <c r="J127" s="493"/>
      <c r="K127" s="493"/>
      <c r="L127" s="493"/>
      <c r="M127" s="494"/>
      <c r="N127" s="881"/>
      <c r="O127" s="881"/>
      <c r="P127" s="1772"/>
      <c r="Q127" s="490"/>
    </row>
    <row r="128" spans="1:17" ht="15" thickTop="1">
      <c r="A128" s="409"/>
      <c r="B128" s="469">
        <f>B45</f>
        <v>0</v>
      </c>
      <c r="C128" s="3142" t="s">
        <v>4377</v>
      </c>
      <c r="D128" s="3142" t="s">
        <v>4378</v>
      </c>
      <c r="E128" s="485"/>
      <c r="F128" s="485"/>
      <c r="G128" s="513"/>
      <c r="H128" s="513"/>
      <c r="I128" s="513"/>
      <c r="J128" s="513"/>
      <c r="K128" s="514"/>
      <c r="L128" s="515"/>
      <c r="M128" s="516"/>
      <c r="N128" s="879"/>
      <c r="O128" s="879"/>
      <c r="P128" s="1771"/>
      <c r="Q128" s="439"/>
    </row>
    <row r="129" spans="1:17" ht="15.75" thickBot="1">
      <c r="A129" s="367"/>
      <c r="B129" s="474"/>
      <c r="C129" s="491">
        <v>100</v>
      </c>
      <c r="D129" s="491">
        <v>95</v>
      </c>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1740</v>
      </c>
    </row>
    <row r="137" spans="1:17" ht="15">
      <c r="B137" s="1778" t="s">
        <v>1741</v>
      </c>
      <c r="C137" s="1779"/>
      <c r="D137" s="1779"/>
      <c r="E137" s="1779"/>
      <c r="F137" s="1779"/>
      <c r="G137" s="1780"/>
      <c r="H137" s="1781"/>
      <c r="I137" s="1782" t="s">
        <v>1742</v>
      </c>
      <c r="J137" s="1779"/>
      <c r="K137" s="1783"/>
    </row>
    <row r="138" spans="1:17" ht="15">
      <c r="B138" s="1784"/>
      <c r="C138" s="129" t="s">
        <v>1743</v>
      </c>
      <c r="D138" s="129" t="s">
        <v>1744</v>
      </c>
      <c r="E138" s="1785" t="s">
        <v>1745</v>
      </c>
      <c r="F138" s="1786" t="s">
        <v>1746</v>
      </c>
      <c r="G138" s="129" t="s">
        <v>1744</v>
      </c>
      <c r="H138" s="130" t="s">
        <v>1745</v>
      </c>
      <c r="I138" s="1787"/>
      <c r="J138" s="129" t="s">
        <v>1747</v>
      </c>
      <c r="K138" s="130" t="s">
        <v>1748</v>
      </c>
    </row>
    <row r="139" spans="1:17" ht="15">
      <c r="B139" s="814">
        <v>6</v>
      </c>
      <c r="C139" s="815">
        <v>96</v>
      </c>
      <c r="D139" s="1788" t="s">
        <v>1749</v>
      </c>
      <c r="E139" s="816">
        <v>100</v>
      </c>
      <c r="F139" s="817">
        <v>102.5</v>
      </c>
      <c r="G139" s="1788" t="s">
        <v>1749</v>
      </c>
      <c r="H139" s="818">
        <v>105</v>
      </c>
      <c r="I139" s="1789" t="s">
        <v>1750</v>
      </c>
      <c r="J139" s="815">
        <v>20</v>
      </c>
      <c r="K139" s="819">
        <f>C145/(J139-2)</f>
        <v>4.0555555555555553E-3</v>
      </c>
    </row>
    <row r="140" spans="1:17" ht="15">
      <c r="B140" s="820">
        <v>5</v>
      </c>
      <c r="C140" s="821">
        <v>100</v>
      </c>
      <c r="D140" s="821"/>
      <c r="E140" s="822"/>
      <c r="F140" s="823">
        <v>102</v>
      </c>
      <c r="G140" s="821"/>
      <c r="H140" s="824"/>
      <c r="I140" s="1790" t="s">
        <v>1751</v>
      </c>
      <c r="J140" s="263">
        <f>ROUNDUP((J139-1)/2,0)</f>
        <v>10</v>
      </c>
      <c r="K140" s="825">
        <v>100</v>
      </c>
    </row>
    <row r="141" spans="1:17" ht="15">
      <c r="B141" s="820">
        <v>4</v>
      </c>
      <c r="C141" s="821">
        <v>102</v>
      </c>
      <c r="D141" s="821"/>
      <c r="E141" s="822"/>
      <c r="F141" s="823">
        <v>101.5</v>
      </c>
      <c r="G141" s="821"/>
      <c r="H141" s="824"/>
      <c r="I141" s="1790" t="s">
        <v>1752</v>
      </c>
      <c r="J141" s="263">
        <v>1</v>
      </c>
      <c r="K141" s="826">
        <f>ROUND(100+(J141-J140)*K139*100,1)</f>
        <v>96.4</v>
      </c>
    </row>
    <row r="142" spans="1:17" ht="15">
      <c r="B142" s="820">
        <v>3</v>
      </c>
      <c r="C142" s="821">
        <v>103</v>
      </c>
      <c r="D142" s="821"/>
      <c r="E142" s="822"/>
      <c r="F142" s="823">
        <v>101</v>
      </c>
      <c r="G142" s="821"/>
      <c r="H142" s="824"/>
      <c r="I142" s="1790" t="s">
        <v>1753</v>
      </c>
      <c r="J142" s="263">
        <f>J139</f>
        <v>20</v>
      </c>
      <c r="K142" s="827">
        <v>95</v>
      </c>
    </row>
    <row r="143" spans="1:17" ht="15">
      <c r="B143" s="820">
        <v>2</v>
      </c>
      <c r="C143" s="821">
        <v>100</v>
      </c>
      <c r="D143" s="821"/>
      <c r="E143" s="822"/>
      <c r="F143" s="823">
        <v>100.5</v>
      </c>
      <c r="G143" s="821"/>
      <c r="H143" s="824"/>
      <c r="I143" s="1790" t="s">
        <v>1754</v>
      </c>
      <c r="J143" s="821">
        <v>15</v>
      </c>
      <c r="K143" s="826">
        <f>ROUND(100+(J143-J140)*K139*100,1)</f>
        <v>102</v>
      </c>
    </row>
    <row r="144" spans="1:17" ht="15">
      <c r="B144" s="820">
        <v>1</v>
      </c>
      <c r="C144" s="821">
        <v>98</v>
      </c>
      <c r="D144" s="1791" t="s">
        <v>1755</v>
      </c>
      <c r="E144" s="822">
        <v>102</v>
      </c>
      <c r="F144" s="828">
        <v>100</v>
      </c>
      <c r="G144" s="1791" t="s">
        <v>1755</v>
      </c>
      <c r="H144" s="824">
        <v>105</v>
      </c>
      <c r="I144" s="1790" t="s">
        <v>1754</v>
      </c>
      <c r="J144" s="821">
        <v>18</v>
      </c>
      <c r="K144" s="826">
        <f>ROUND(100+(J144-J140)*K139*100,1)</f>
        <v>103.2</v>
      </c>
    </row>
    <row r="145" spans="2:11" ht="15.75" thickBot="1">
      <c r="B145" s="1792" t="s">
        <v>1756</v>
      </c>
      <c r="C145" s="829">
        <f>ROUND(MAX(C139:C144)/MIN(C139:C144)-1,3)</f>
        <v>7.2999999999999995E-2</v>
      </c>
      <c r="D145" s="830"/>
      <c r="E145" s="830"/>
      <c r="F145" s="1793" t="s">
        <v>1757</v>
      </c>
      <c r="G145" s="1794"/>
      <c r="H145" s="1795"/>
      <c r="I145" s="1796" t="s">
        <v>1754</v>
      </c>
      <c r="J145" s="831">
        <v>8</v>
      </c>
      <c r="K145" s="832">
        <f>ROUND(100+(J145-J140)*K139*100,1)</f>
        <v>99.2</v>
      </c>
    </row>
    <row r="147" spans="2:11">
      <c r="B147" s="1777" t="s">
        <v>1758</v>
      </c>
    </row>
    <row r="148" spans="2:11">
      <c r="B148" s="1777" t="s">
        <v>1759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53" priority="14" stopIfTrue="1">
      <formula>$F$52="超过30%"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J52:J54">
    <cfRule type="containsText" dxfId="148" priority="15" stopIfTrue="1" operator="containsText" text="超过">
      <formula>NOT(ISERROR(SEARCH("超过",F52)))</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G54">
    <cfRule type="expression" dxfId="145" priority="12"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3389</v>
      </c>
      <c r="C1" s="190"/>
      <c r="D1" s="190"/>
      <c r="E1" s="190"/>
      <c r="F1" s="190"/>
      <c r="G1" s="1062">
        <f>MATCH(B1,'数据-取费表'!A6:A16,0)+5</f>
        <v>6</v>
      </c>
    </row>
    <row r="2" spans="1:9" s="192" customFormat="1" ht="18" customHeight="1">
      <c r="A2" s="193" t="s">
        <v>1456</v>
      </c>
      <c r="B2" s="194">
        <f ca="1">IF(D2="——",C52,C52-E2)</f>
        <v>65806</v>
      </c>
      <c r="C2" s="191" t="s">
        <v>1457</v>
      </c>
      <c r="D2" s="1710" t="s">
        <v>43</v>
      </c>
      <c r="E2" s="1089" t="e">
        <f ca="1">SUMIF(INDIRECT("'"&amp;G2&amp;"'"&amp;"!A:A"),"承租人权益价值",INDIRECT("'"&amp;G2&amp;"'"&amp;"!c:c"))</f>
        <v>#REF!</v>
      </c>
      <c r="F2" s="1711" t="s">
        <v>1457</v>
      </c>
      <c r="G2" s="1712"/>
    </row>
    <row r="3" spans="1:9" s="192" customFormat="1" ht="18" customHeight="1" thickBot="1">
      <c r="A3" s="195" t="s">
        <v>1458</v>
      </c>
      <c r="B3" s="196">
        <f ca="1">ROUND(B2*10000/(IF(B1="",'数据-汇总表'!E3,INDIRECT("'数据-取费表'!k"&amp;$G$1))),0)</f>
        <v>7690</v>
      </c>
      <c r="C3" s="191" t="s">
        <v>1459</v>
      </c>
      <c r="D3" s="191"/>
      <c r="E3" s="191"/>
      <c r="F3" s="191"/>
      <c r="G3" s="191"/>
    </row>
    <row r="4" spans="1:9" s="200" customFormat="1" ht="15.75">
      <c r="A4" s="197" t="s">
        <v>1460</v>
      </c>
      <c r="B4" s="198"/>
      <c r="C4" s="198"/>
      <c r="D4" s="198"/>
      <c r="E4" s="198"/>
      <c r="F4" s="198"/>
      <c r="G4" s="199"/>
    </row>
    <row r="5" spans="1:9" s="206" customFormat="1" ht="13.5" customHeight="1">
      <c r="A5" s="247" t="s">
        <v>1461</v>
      </c>
      <c r="B5" s="202" t="s">
        <v>1462</v>
      </c>
      <c r="C5" s="203">
        <f ca="1">C6+C7+C8</f>
        <v>9915</v>
      </c>
      <c r="D5" s="203" t="s">
        <v>1463</v>
      </c>
      <c r="E5" s="204" t="s">
        <v>1464</v>
      </c>
      <c r="F5" s="204" t="s">
        <v>1465</v>
      </c>
      <c r="G5" s="205"/>
    </row>
    <row r="6" spans="1:9" s="206" customFormat="1" ht="13.5" customHeight="1">
      <c r="A6" s="732" t="s">
        <v>1466</v>
      </c>
      <c r="B6" s="207" t="s">
        <v>1467</v>
      </c>
      <c r="C6" s="208">
        <f>'土地比较法-住宅、综合'!F65</f>
        <v>8542</v>
      </c>
      <c r="D6" s="209"/>
      <c r="E6" s="210"/>
      <c r="F6" s="210"/>
      <c r="G6" s="211"/>
    </row>
    <row r="7" spans="1:9" s="206" customFormat="1" ht="13.5" customHeight="1">
      <c r="A7" s="732" t="s">
        <v>1468</v>
      </c>
      <c r="B7" s="207" t="s">
        <v>1469</v>
      </c>
      <c r="C7" s="212">
        <f>ROUND(C6*F7,0)</f>
        <v>346</v>
      </c>
      <c r="D7" s="212"/>
      <c r="E7" s="210"/>
      <c r="F7" s="213">
        <f>IF(项目基本情况!B8="出让",0,'数据-取费表'!B48+'数据-取费表'!B49)</f>
        <v>4.0500000000000001E-2</v>
      </c>
      <c r="G7" s="211"/>
    </row>
    <row r="8" spans="1:9" s="215" customFormat="1">
      <c r="A8" s="732" t="s">
        <v>1470</v>
      </c>
      <c r="B8" s="207" t="s">
        <v>1471</v>
      </c>
      <c r="C8" s="212">
        <f ca="1">IF(G8="已包含在土地购买价格中","0",IF(B1="",'数据-取费表'!B29,IF(G9="全部缴纳",C9+C10,H9)))</f>
        <v>1027</v>
      </c>
      <c r="D8" s="214"/>
      <c r="E8" s="212"/>
      <c r="F8" s="213"/>
      <c r="G8" s="1713" t="s">
        <v>4154</v>
      </c>
    </row>
    <row r="9" spans="1:9" s="206" customFormat="1" ht="13.5" customHeight="1">
      <c r="A9" s="733" t="s">
        <v>355</v>
      </c>
      <c r="B9" s="216" t="s">
        <v>1472</v>
      </c>
      <c r="C9" s="217">
        <f ca="1">ROUND(D9*E9/10000,0)</f>
        <v>1027</v>
      </c>
      <c r="D9" s="795">
        <f ca="1">IF(B1="",'数据-汇总表'!E5,IF(INDIRECT("'数据-取费表'!c"&amp;$G$1)="住宅",INDIRECT("'数据-取费表'!k"&amp;$G$1),0))</f>
        <v>85571.080000000016</v>
      </c>
      <c r="E9" s="217">
        <f>'数据-取费表'!B27</f>
        <v>120</v>
      </c>
      <c r="F9" s="213"/>
      <c r="G9" s="1714" t="s">
        <v>4152</v>
      </c>
      <c r="H9" s="1070"/>
      <c r="I9" s="1715" t="s">
        <v>1473</v>
      </c>
    </row>
    <row r="10" spans="1:9" s="206" customFormat="1" ht="13.5" customHeight="1">
      <c r="A10" s="733" t="s">
        <v>356</v>
      </c>
      <c r="B10" s="216" t="s">
        <v>1474</v>
      </c>
      <c r="C10" s="217">
        <f ca="1">ROUND(D10*E10/10000,0)</f>
        <v>0</v>
      </c>
      <c r="D10" s="795">
        <f ca="1">IF(B1="",'数据-汇总表'!E6,IF(INDIRECT("'数据-取费表'!c"&amp;$G$1)="住宅",INDIRECT("'数据-取费表'!s"&amp;$G$1),INDIRECT("'数据-取费表'!k"&amp;$G$1)+INDIRECT("'数据-取费表'!s"&amp;$G$1)))</f>
        <v>0</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1478</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1478</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f ca="1">D9+D10</f>
        <v>85571.080000000016</v>
      </c>
      <c r="E19" s="203">
        <f>'数据-取费表'!B31</f>
        <v>200</v>
      </c>
      <c r="F19" s="223"/>
      <c r="G19" s="1713" t="s">
        <v>4153</v>
      </c>
    </row>
    <row r="20" spans="1:7" s="206" customFormat="1" ht="13.5" customHeight="1">
      <c r="A20" s="247" t="s">
        <v>1487</v>
      </c>
      <c r="B20" s="202" t="s">
        <v>1488</v>
      </c>
      <c r="C20" s="224">
        <f ca="1">ROUND((C5+C19)*F20,0)</f>
        <v>297</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f ca="1">ROUND(SUM(C23:C25),0)</f>
        <v>706</v>
      </c>
      <c r="D22" s="227">
        <f ca="1">C26</f>
        <v>1E-3</v>
      </c>
      <c r="E22" s="228" t="s">
        <v>1492</v>
      </c>
      <c r="F22" s="229">
        <f ca="1">'数据-取费表'!B40</f>
        <v>3.4500000000000003E-2</v>
      </c>
      <c r="G22" s="226" t="str">
        <f>IF('数据-取费表'!B22&lt;=1,"单利计息","复利计息")</f>
        <v>复利计息</v>
      </c>
    </row>
    <row r="23" spans="1:7" s="206" customFormat="1" ht="13.5" customHeight="1">
      <c r="A23" s="734" t="s">
        <v>1496</v>
      </c>
      <c r="B23" s="207" t="s">
        <v>1497</v>
      </c>
      <c r="C23" s="1042">
        <f ca="1">ROUND(IF('数据-取费表'!B22&lt;=1,C5*F22*'数据-取费表'!B23,C5*(POWER((1+F22),'数据-取费表'!B23)-1)),0)</f>
        <v>696</v>
      </c>
      <c r="D23" s="230"/>
      <c r="E23" s="230"/>
      <c r="F23" s="231"/>
      <c r="G23" s="232" t="s">
        <v>1498</v>
      </c>
    </row>
    <row r="24" spans="1:7" s="206" customFormat="1" ht="13.5" customHeight="1">
      <c r="A24" s="734" t="s">
        <v>1499</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1502</v>
      </c>
      <c r="B25" s="207" t="s">
        <v>1503</v>
      </c>
      <c r="C25" s="1042">
        <f ca="1">ROUND(IF('数据-取费表'!B22&lt;=1,C20*F22*'数据-取费表'!B23/2,C20*(POWER((1+F22),'数据-取费表'!B23/2)-1)),0)</f>
        <v>10</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f ca="1">C28</f>
        <v>1532</v>
      </c>
      <c r="D27" s="227">
        <f ca="1">C29</f>
        <v>4.4999999999999997E-3</v>
      </c>
      <c r="E27" s="228" t="s">
        <v>1508</v>
      </c>
      <c r="F27" s="238">
        <f ca="1">IF(B1="",'数据-取费表'!Q16,INDIRECT("'数据-取费表'!q"&amp;$G$1))</f>
        <v>0.15</v>
      </c>
      <c r="G27" s="239" t="s">
        <v>1509</v>
      </c>
    </row>
    <row r="28" spans="1:7" s="206" customFormat="1" ht="13.5" customHeight="1">
      <c r="A28" s="734" t="s">
        <v>346</v>
      </c>
      <c r="B28" s="240" t="s">
        <v>1510</v>
      </c>
      <c r="C28" s="241">
        <f ca="1">ROUND((C5+C19+C20)*F27*'数据-取费表'!B21/'数据-取费表'!B20,0)</f>
        <v>1532</v>
      </c>
      <c r="D28" s="227"/>
      <c r="E28" s="228"/>
      <c r="F28" s="238"/>
      <c r="G28" s="239"/>
    </row>
    <row r="29" spans="1:7" s="206" customFormat="1" ht="13.5" customHeight="1">
      <c r="A29" s="734" t="s">
        <v>347</v>
      </c>
      <c r="B29" s="240" t="s">
        <v>1511</v>
      </c>
      <c r="C29" s="230">
        <f ca="1">ROUND(C21*F27*'数据-取费表'!B21/'数据-取费表'!B20,4)</f>
        <v>4.4999999999999997E-3</v>
      </c>
      <c r="D29" s="227"/>
      <c r="E29" s="228"/>
      <c r="F29" s="238"/>
      <c r="G29" s="239"/>
    </row>
    <row r="30" spans="1:7" s="206" customFormat="1" ht="13.5" customHeight="1">
      <c r="A30" s="247" t="s">
        <v>1512</v>
      </c>
      <c r="B30" s="202" t="s">
        <v>1513</v>
      </c>
      <c r="C30" s="227">
        <f>ROUND(F30/(1+'数据-取费表'!C42),4)</f>
        <v>5.33E-2</v>
      </c>
      <c r="D30" s="228" t="s">
        <v>1508</v>
      </c>
      <c r="E30" s="233"/>
      <c r="F30" s="229">
        <f>'数据-取费表'!B41</f>
        <v>5.6000000000000001E-2</v>
      </c>
      <c r="G30" s="226" t="s">
        <v>1514</v>
      </c>
    </row>
    <row r="31" spans="1:7" ht="16.5" customHeight="1">
      <c r="A31" s="201">
        <v>1</v>
      </c>
      <c r="B31" s="202" t="s">
        <v>1515</v>
      </c>
      <c r="C31" s="203">
        <f ca="1">ROUND((C5+C19+C20+C22+C27)/(1-C21-D22-D27-C30),0)</f>
        <v>13663</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f ca="1">SUM(C34:C38)</f>
        <v>38944</v>
      </c>
      <c r="D33" s="224"/>
      <c r="E33" s="204"/>
      <c r="F33" s="233"/>
      <c r="G33" s="226"/>
    </row>
    <row r="34" spans="1:7" s="250" customFormat="1" ht="13.5" customHeight="1">
      <c r="A34" s="734" t="s">
        <v>346</v>
      </c>
      <c r="B34" s="207" t="s">
        <v>1519</v>
      </c>
      <c r="C34" s="212">
        <f ca="1">IF(B1="",IF(F34=100%,'数据-取费表'!M16,'数据-取费表'!O16),IF(F34=100%,INDIRECT("'数据-取费表'!m"&amp;$G$1)+INDIRECT("'数据-取费表'!t"&amp;$G$1),INDIRECT("'数据-取费表'!o"&amp;$G$1)+INDIRECT("'数据-取费表'!aq"&amp;$G$1)))</f>
        <v>32517</v>
      </c>
      <c r="D34" s="209"/>
      <c r="E34" s="212"/>
      <c r="F34" s="249">
        <f ca="1">IF('数据-取费表'!B24=0,1,IF(B1="",'数据-取费表'!N16,INDIRECT("'数据-取费表'!n"&amp;$G$1)))</f>
        <v>1</v>
      </c>
      <c r="G34" s="211" t="s">
        <v>1520</v>
      </c>
    </row>
    <row r="35" spans="1:7" ht="13.5" customHeight="1">
      <c r="A35" s="734" t="s">
        <v>351</v>
      </c>
      <c r="B35" s="207" t="s">
        <v>1521</v>
      </c>
      <c r="C35" s="212">
        <f ca="1">ROUND(C34*F35,0)</f>
        <v>976</v>
      </c>
      <c r="D35" s="212"/>
      <c r="E35" s="212"/>
      <c r="F35" s="251">
        <f>'数据-取费表'!B33</f>
        <v>0.03</v>
      </c>
      <c r="G35" s="211" t="s">
        <v>1522</v>
      </c>
    </row>
    <row r="36" spans="1:7" ht="24">
      <c r="A36" s="734" t="s">
        <v>352</v>
      </c>
      <c r="B36" s="207" t="s">
        <v>1523</v>
      </c>
      <c r="C36" s="212">
        <f ca="1">ROUND(IF(B1="",SUMIF('数据-取费表'!C:C,"住宅",IF(F34=100%,'数据-取费表'!M:M,'数据-取费表'!O:O))*F36,IF(INDIRECT("'数据-取费表'!c"&amp;$G$1)="住宅",IF(F34=100%,INDIRECT("'数据-取费表'!m"&amp;$G$1)*F36,INDIRECT("'数据-取费表'!o"&amp;$G$1)*F36),0)),0)</f>
        <v>3252</v>
      </c>
      <c r="D36" s="212"/>
      <c r="E36" s="212"/>
      <c r="F36" s="251">
        <f>'数据-取费表'!B34</f>
        <v>0.1</v>
      </c>
      <c r="G36" s="252" t="s">
        <v>1524</v>
      </c>
    </row>
    <row r="37" spans="1:7" s="250" customFormat="1" ht="13.5" customHeight="1">
      <c r="A37" s="734" t="s">
        <v>353</v>
      </c>
      <c r="B37" s="207" t="s">
        <v>1525</v>
      </c>
      <c r="C37" s="241">
        <f ca="1">ROUND(E37*D37*F34/10000,0)</f>
        <v>1711</v>
      </c>
      <c r="D37" s="209">
        <f ca="1">D19</f>
        <v>85571.080000000016</v>
      </c>
      <c r="E37" s="241">
        <f>'数据-取费表'!B35</f>
        <v>200</v>
      </c>
      <c r="F37" s="251"/>
      <c r="G37" s="253" t="s">
        <v>1526</v>
      </c>
    </row>
    <row r="38" spans="1:7" ht="13.5" customHeight="1">
      <c r="A38" s="734" t="s">
        <v>354</v>
      </c>
      <c r="B38" s="207" t="s">
        <v>1527</v>
      </c>
      <c r="C38" s="212">
        <f ca="1">ROUND(C34*F38,0)</f>
        <v>488</v>
      </c>
      <c r="D38" s="212"/>
      <c r="E38" s="212"/>
      <c r="F38" s="251">
        <f>'数据-取费表'!B36</f>
        <v>1.4999999999999999E-2</v>
      </c>
      <c r="G38" s="211" t="s">
        <v>1522</v>
      </c>
    </row>
    <row r="39" spans="1:7" s="206" customFormat="1" ht="13.5" customHeight="1">
      <c r="A39" s="247" t="s">
        <v>1528</v>
      </c>
      <c r="B39" s="202" t="s">
        <v>1529</v>
      </c>
      <c r="C39" s="224">
        <f ca="1">ROUND(C33*F20,0)</f>
        <v>1168</v>
      </c>
      <c r="D39" s="224"/>
      <c r="E39" s="224"/>
      <c r="F39" s="225">
        <f>F20</f>
        <v>0.03</v>
      </c>
      <c r="G39" s="226" t="s">
        <v>1530</v>
      </c>
    </row>
    <row r="40" spans="1:7" s="206" customFormat="1" ht="13.5" customHeight="1">
      <c r="A40" s="247" t="s">
        <v>1531</v>
      </c>
      <c r="B40" s="202" t="s">
        <v>1532</v>
      </c>
      <c r="C40" s="227">
        <f>F21</f>
        <v>0.03</v>
      </c>
      <c r="D40" s="228" t="s">
        <v>1533</v>
      </c>
      <c r="E40" s="224"/>
      <c r="F40" s="225">
        <f>F21</f>
        <v>0.03</v>
      </c>
      <c r="G40" s="226" t="s">
        <v>1534</v>
      </c>
    </row>
    <row r="41" spans="1:7" s="206" customFormat="1" ht="13.5" customHeight="1">
      <c r="A41" s="247" t="s">
        <v>1535</v>
      </c>
      <c r="B41" s="202" t="s">
        <v>1536</v>
      </c>
      <c r="C41" s="224">
        <f ca="1">ROUND(SUM(C42:C43),0)</f>
        <v>1384</v>
      </c>
      <c r="D41" s="227">
        <f ca="1">C44</f>
        <v>1E-3</v>
      </c>
      <c r="E41" s="228" t="s">
        <v>1533</v>
      </c>
      <c r="F41" s="229">
        <f ca="1">F22</f>
        <v>3.4500000000000003E-2</v>
      </c>
      <c r="G41" s="226" t="str">
        <f>IF('数据-取费表'!B22&lt;=1,"单利计息","复利计息")</f>
        <v>复利计息</v>
      </c>
    </row>
    <row r="42" spans="1:7" ht="13.5" customHeight="1">
      <c r="A42" s="734" t="s">
        <v>346</v>
      </c>
      <c r="B42" s="207" t="s">
        <v>1537</v>
      </c>
      <c r="C42" s="230">
        <f ca="1">ROUND(IF('数据-取费表'!B22&lt;=1,C33*F22*'数据-取费表'!B21/2,C33*(POWER((1+F22),'数据-取费表'!B21/2)-1)),0)</f>
        <v>1344</v>
      </c>
      <c r="D42" s="230"/>
      <c r="E42" s="230"/>
      <c r="F42" s="231"/>
      <c r="G42" s="3504" t="s">
        <v>1538</v>
      </c>
    </row>
    <row r="43" spans="1:7" ht="13.5" customHeight="1">
      <c r="A43" s="734" t="s">
        <v>347</v>
      </c>
      <c r="B43" s="207" t="s">
        <v>1539</v>
      </c>
      <c r="C43" s="230">
        <f ca="1">ROUND(IF('数据-取费表'!B22&lt;=1,C39*F22*'数据-取费表'!B21/2,C39*(POWER((1+F22),'数据-取费表'!B21/2)-1)),0)</f>
        <v>40</v>
      </c>
      <c r="D43" s="230"/>
      <c r="E43" s="230"/>
      <c r="F43" s="231"/>
      <c r="G43" s="3505"/>
    </row>
    <row r="44" spans="1:7" ht="13.5" customHeight="1">
      <c r="A44" s="734" t="s">
        <v>348</v>
      </c>
      <c r="B44" s="207" t="s">
        <v>1540</v>
      </c>
      <c r="C44" s="230">
        <f ca="1">ROUND(IF('数据-取费表'!B22&lt;=1,C40*F22*'数据-取费表'!B21/2,C40*(POWER((1+F22),'数据-取费表'!B21/2)-1)),4)</f>
        <v>1E-3</v>
      </c>
      <c r="D44" s="230"/>
      <c r="E44" s="230"/>
      <c r="F44" s="231"/>
      <c r="G44" s="3506"/>
    </row>
    <row r="45" spans="1:7" s="206" customFormat="1" ht="13.5" customHeight="1">
      <c r="A45" s="247" t="s">
        <v>1541</v>
      </c>
      <c r="B45" s="236" t="s">
        <v>1507</v>
      </c>
      <c r="C45" s="237">
        <f ca="1">C46</f>
        <v>6017</v>
      </c>
      <c r="D45" s="227">
        <f ca="1">C47</f>
        <v>4.4999999999999997E-3</v>
      </c>
      <c r="E45" s="228" t="s">
        <v>1533</v>
      </c>
      <c r="F45" s="238">
        <f ca="1">F27</f>
        <v>0.15</v>
      </c>
      <c r="G45" s="239" t="s">
        <v>1542</v>
      </c>
    </row>
    <row r="46" spans="1:7" s="206" customFormat="1" ht="13.5" customHeight="1">
      <c r="A46" s="734" t="s">
        <v>346</v>
      </c>
      <c r="B46" s="240" t="s">
        <v>1543</v>
      </c>
      <c r="C46" s="241">
        <f ca="1">ROUND((C33+C39)*F27,0)</f>
        <v>6017</v>
      </c>
      <c r="D46" s="255"/>
      <c r="E46" s="228"/>
      <c r="F46" s="238"/>
      <c r="G46" s="239"/>
    </row>
    <row r="47" spans="1:7" s="206" customFormat="1" ht="13.5" customHeight="1">
      <c r="A47" s="734" t="s">
        <v>347</v>
      </c>
      <c r="B47" s="240" t="s">
        <v>1544</v>
      </c>
      <c r="C47" s="230">
        <f ca="1">ROUND(C40*F27,4)</f>
        <v>4.4999999999999997E-3</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f ca="1">ROUND((C33+C39+C41+C45)/(1-C40-D41-D45-C48),0)</f>
        <v>52143</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f ca="1">ROUND(C49*F50,0)</f>
        <v>52143</v>
      </c>
      <c r="D51" s="224"/>
      <c r="E51" s="224"/>
      <c r="F51" s="256"/>
      <c r="G51" s="226" t="s">
        <v>1554</v>
      </c>
    </row>
    <row r="52" spans="1:7" s="200" customFormat="1" ht="16.5" thickBot="1">
      <c r="A52" s="257" t="s">
        <v>1555</v>
      </c>
      <c r="B52" s="258"/>
      <c r="C52" s="259">
        <f ca="1">C31+C51</f>
        <v>65806</v>
      </c>
      <c r="D52" s="258"/>
      <c r="E52" s="258"/>
      <c r="F52" s="258"/>
      <c r="G52" s="260"/>
    </row>
    <row r="55" spans="1:7" ht="15">
      <c r="B55" s="262" t="s">
        <v>1556</v>
      </c>
      <c r="C55" s="263"/>
    </row>
    <row r="56" spans="1:7">
      <c r="B56" s="265" t="s">
        <v>796</v>
      </c>
      <c r="C56" s="267">
        <f ca="1">1-C57</f>
        <v>0.20799999999999996</v>
      </c>
    </row>
    <row r="57" spans="1:7">
      <c r="B57" s="265" t="s">
        <v>797</v>
      </c>
      <c r="C57" s="266">
        <f ca="1">ROUND(C51/C52,3)</f>
        <v>0.79200000000000004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9" zoomScale="90" zoomScaleNormal="60" zoomScaleSheetLayoutView="90" workbookViewId="0">
      <selection activeCell="I41" activeCellId="3" sqref="C41 E41 G41 I4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1862</v>
      </c>
      <c r="D1" s="651"/>
      <c r="E1" s="651"/>
      <c r="F1" s="650" t="s">
        <v>1761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f>F65</f>
        <v>8542</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f>ROUND(IF(D3="",B2*10000/'数据-汇总表'!E3,B2*10000/D3),0)</f>
        <v>991</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77" t="s">
        <v>1764</v>
      </c>
      <c r="D4" s="3478"/>
      <c r="E4" s="3479" t="s">
        <v>1765</v>
      </c>
      <c r="F4" s="3480"/>
      <c r="G4" s="3477" t="s">
        <v>1766</v>
      </c>
      <c r="H4" s="3478"/>
      <c r="I4" s="3477" t="s">
        <v>1767</v>
      </c>
      <c r="J4" s="3478"/>
      <c r="K4" s="537" t="s">
        <v>1768</v>
      </c>
      <c r="L4" s="2481"/>
      <c r="M4" s="2482"/>
      <c r="N4" s="2482"/>
      <c r="O4" s="2482"/>
      <c r="P4" s="3481" t="s">
        <v>1769</v>
      </c>
      <c r="Q4" s="3482"/>
      <c r="R4" s="3487" t="s">
        <v>1765</v>
      </c>
      <c r="S4" s="3488"/>
      <c r="T4" s="3487" t="s">
        <v>1766</v>
      </c>
      <c r="U4" s="3488"/>
      <c r="V4" s="3463" t="s">
        <v>1767</v>
      </c>
      <c r="W4" s="3463"/>
      <c r="X4" s="1264"/>
      <c r="Y4" s="3487" t="s">
        <v>1769</v>
      </c>
      <c r="Z4" s="3488"/>
      <c r="AA4" s="3474" t="s">
        <v>1765</v>
      </c>
      <c r="AB4" s="3475" t="s">
        <v>1766</v>
      </c>
      <c r="AC4" s="3474" t="s">
        <v>1767</v>
      </c>
    </row>
    <row r="5" spans="1:29" ht="57" customHeight="1">
      <c r="A5" s="348"/>
      <c r="B5" s="349"/>
      <c r="C5" s="3511" t="s">
        <v>1667</v>
      </c>
      <c r="D5" s="3496"/>
      <c r="E5" s="3512" t="str">
        <f>土地案例!$A$4</f>
        <v>下花园区110国道北侧</v>
      </c>
      <c r="F5" s="3503"/>
      <c r="G5" s="3511" t="str">
        <f>土地案例!$A$9</f>
        <v>下花园区110国道北侧</v>
      </c>
      <c r="H5" s="3496"/>
      <c r="I5" s="3511" t="str">
        <f>土地案例!$A$11</f>
        <v>下花园区滨河南路北侧</v>
      </c>
      <c r="J5" s="3496"/>
      <c r="K5" s="537"/>
      <c r="L5" s="2481"/>
      <c r="M5" s="2482"/>
      <c r="N5" s="2482"/>
      <c r="O5" s="2482"/>
      <c r="P5" s="3483"/>
      <c r="Q5" s="3484"/>
      <c r="R5" s="3489"/>
      <c r="S5" s="3490"/>
      <c r="T5" s="3489"/>
      <c r="U5" s="3490"/>
      <c r="V5" s="3463"/>
      <c r="W5" s="3463"/>
      <c r="X5" s="1264"/>
      <c r="Y5" s="3489"/>
      <c r="Z5" s="3490"/>
      <c r="AA5" s="3475"/>
      <c r="AB5" s="3475"/>
      <c r="AC5" s="3475"/>
    </row>
    <row r="6" spans="1:29" ht="15.75" thickBot="1">
      <c r="A6" s="350"/>
      <c r="B6" s="351"/>
      <c r="C6" s="3493" t="s">
        <v>1671</v>
      </c>
      <c r="D6" s="3494"/>
      <c r="E6" s="3500" t="s">
        <v>1671</v>
      </c>
      <c r="F6" s="3501"/>
      <c r="G6" s="3493" t="s">
        <v>1671</v>
      </c>
      <c r="H6" s="3494"/>
      <c r="I6" s="3493" t="s">
        <v>1671</v>
      </c>
      <c r="J6" s="3494"/>
      <c r="K6" s="537" t="s">
        <v>1672</v>
      </c>
      <c r="L6" s="2481"/>
      <c r="M6" s="2482"/>
      <c r="N6" s="2482"/>
      <c r="O6" s="2482"/>
      <c r="P6" s="3485"/>
      <c r="Q6" s="3486"/>
      <c r="R6" s="3489"/>
      <c r="S6" s="3490"/>
      <c r="T6" s="3491"/>
      <c r="U6" s="3492"/>
      <c r="V6" s="3463"/>
      <c r="W6" s="3463"/>
      <c r="X6" s="1264"/>
      <c r="Y6" s="3491"/>
      <c r="Z6" s="3492"/>
      <c r="AA6" s="3476"/>
      <c r="AB6" s="3476"/>
      <c r="AC6" s="3476"/>
    </row>
    <row r="7" spans="1:29" s="102" customFormat="1" ht="15.75" thickBot="1">
      <c r="A7" s="352" t="s">
        <v>1673</v>
      </c>
      <c r="B7" s="353"/>
      <c r="C7" s="354">
        <f>'数据-取费表'!B2</f>
        <v>45291</v>
      </c>
      <c r="D7" s="355">
        <v>100</v>
      </c>
      <c r="E7" s="356">
        <f>土地案例!$Q$4</f>
        <v>45278.000497685185</v>
      </c>
      <c r="F7" s="357">
        <f>SUMIF(69:69,YEAR(E7)&amp;"-"&amp;INT((MONTH(E7)+2)/3),70:70)</f>
        <v>100</v>
      </c>
      <c r="G7" s="1818">
        <f>土地案例!$Q$9</f>
        <v>44728.000497685185</v>
      </c>
      <c r="H7" s="355">
        <f>SUMIF(69:69,YEAR(G7)&amp;"-"&amp;INT((MONTH(G7)+2)/3),70:70)</f>
        <v>98.799999999999983</v>
      </c>
      <c r="I7" s="1818">
        <f>土地案例!$Q$11</f>
        <v>44550.000497685185</v>
      </c>
      <c r="J7" s="355">
        <f>SUMIF(69:69,YEAR(I7)&amp;"-"&amp;INT((MONTH(I7)+2)/3),70:70)</f>
        <v>98.399999999999977</v>
      </c>
      <c r="K7" s="38"/>
      <c r="L7" s="2483"/>
      <c r="M7" s="2435"/>
      <c r="N7" s="2435"/>
      <c r="O7" s="2435"/>
      <c r="P7" s="3497" t="s">
        <v>1674</v>
      </c>
      <c r="Q7" s="3499"/>
      <c r="R7" s="664" t="s">
        <v>14</v>
      </c>
      <c r="S7" s="665">
        <f t="shared" ref="S7:S15" si="0">F7</f>
        <v>100</v>
      </c>
      <c r="T7" s="664" t="s">
        <v>14</v>
      </c>
      <c r="U7" s="665">
        <f t="shared" ref="U7:U15" si="1">H7</f>
        <v>98.799999999999983</v>
      </c>
      <c r="V7" s="664" t="s">
        <v>14</v>
      </c>
      <c r="W7" s="665">
        <f t="shared" ref="W7:W15" si="2">J7</f>
        <v>98.399999999999977</v>
      </c>
      <c r="X7" s="666"/>
      <c r="Y7" s="3497" t="s">
        <v>1674</v>
      </c>
      <c r="Z7" s="3498"/>
      <c r="AA7" s="50">
        <f>D7/F7</f>
        <v>1</v>
      </c>
      <c r="AB7" s="50">
        <f>D7/H7</f>
        <v>1.0121457489878545</v>
      </c>
      <c r="AC7" s="50">
        <f>D7/J7</f>
        <v>1.0162601626016263</v>
      </c>
    </row>
    <row r="8" spans="1:29" s="102" customFormat="1" ht="15.75" thickBot="1">
      <c r="A8" s="352" t="s">
        <v>1675</v>
      </c>
      <c r="B8" s="353"/>
      <c r="C8" s="358" t="s">
        <v>1676</v>
      </c>
      <c r="D8" s="355">
        <v>100</v>
      </c>
      <c r="E8" s="358" t="s">
        <v>3394</v>
      </c>
      <c r="F8" s="357">
        <f>SUMIF(72:72,E8,73:73)-SUMIF(72:72,C8,73:73)+100</f>
        <v>100</v>
      </c>
      <c r="G8" s="358" t="s">
        <v>3394</v>
      </c>
      <c r="H8" s="355">
        <f>SUMIF(72:72,G8,73:73)-SUMIF(72:72,C8,73:73)+100</f>
        <v>100</v>
      </c>
      <c r="I8" s="358" t="s">
        <v>3394</v>
      </c>
      <c r="J8" s="355">
        <f>SUMIF(72:72,I8,73:73)-SUMIF(72:72,C8,73:73)+100</f>
        <v>100</v>
      </c>
      <c r="K8" s="38"/>
      <c r="L8" s="2483"/>
      <c r="M8" s="2435"/>
      <c r="N8" s="2435"/>
      <c r="O8" s="2435"/>
      <c r="P8" s="3497" t="s">
        <v>1677</v>
      </c>
      <c r="Q8" s="3498"/>
      <c r="R8" s="664" t="s">
        <v>14</v>
      </c>
      <c r="S8" s="665">
        <f t="shared" si="0"/>
        <v>100</v>
      </c>
      <c r="T8" s="664" t="s">
        <v>14</v>
      </c>
      <c r="U8" s="665">
        <f t="shared" si="1"/>
        <v>100</v>
      </c>
      <c r="V8" s="664" t="s">
        <v>14</v>
      </c>
      <c r="W8" s="665">
        <f t="shared" si="2"/>
        <v>100</v>
      </c>
      <c r="X8" s="666"/>
      <c r="Y8" s="3497" t="s">
        <v>1677</v>
      </c>
      <c r="Z8" s="3498"/>
      <c r="AA8" s="50">
        <f t="shared" ref="AA8:AA45" si="3">D8/F8</f>
        <v>1</v>
      </c>
      <c r="AB8" s="50">
        <f t="shared" ref="AB8:AB45" si="4">D8/H8</f>
        <v>1</v>
      </c>
      <c r="AC8" s="50">
        <f t="shared" ref="AC8:AC45" si="5">D8/J8</f>
        <v>1</v>
      </c>
    </row>
    <row r="9" spans="1:29" s="102" customFormat="1">
      <c r="A9" s="359" t="s">
        <v>1678</v>
      </c>
      <c r="B9" s="60" t="s">
        <v>1679</v>
      </c>
      <c r="C9" s="1821" t="s">
        <v>3387</v>
      </c>
      <c r="D9" s="59">
        <v>100</v>
      </c>
      <c r="E9" s="1821" t="s">
        <v>3387</v>
      </c>
      <c r="F9" s="59">
        <f>SUMIF(74:74,E9,75:75)-SUMIF(74:74,C9,75:75)+100</f>
        <v>100</v>
      </c>
      <c r="G9" s="1821" t="s">
        <v>3387</v>
      </c>
      <c r="H9" s="59">
        <f>SUMIF(74:74,G9,75:75)-SUMIF(74:74,C9,75:75)+100</f>
        <v>100</v>
      </c>
      <c r="I9" s="1821" t="s">
        <v>3387</v>
      </c>
      <c r="J9" s="59">
        <f>SUMIF(74:74,I9,75:75)-SUMIF(74:74,C9,75:75)+100</f>
        <v>100</v>
      </c>
      <c r="K9" s="38"/>
      <c r="L9" s="2483"/>
      <c r="M9" s="2435"/>
      <c r="N9" s="2435"/>
      <c r="O9" s="2535"/>
      <c r="P9" s="3462" t="s">
        <v>1680</v>
      </c>
      <c r="Q9" s="530" t="str">
        <f t="shared" ref="Q9:Q15" si="6">B9</f>
        <v>用途</v>
      </c>
      <c r="R9" s="664" t="s">
        <v>14</v>
      </c>
      <c r="S9" s="665">
        <f t="shared" si="0"/>
        <v>100</v>
      </c>
      <c r="T9" s="664" t="s">
        <v>14</v>
      </c>
      <c r="U9" s="665">
        <f t="shared" si="1"/>
        <v>100</v>
      </c>
      <c r="V9" s="664" t="s">
        <v>14</v>
      </c>
      <c r="W9" s="665">
        <f t="shared" si="2"/>
        <v>100</v>
      </c>
      <c r="X9" s="666"/>
      <c r="Y9" s="3366" t="s">
        <v>1681</v>
      </c>
      <c r="Z9" s="50" t="str">
        <f t="shared" ref="Z9:Z15" si="7">Q9</f>
        <v>用途</v>
      </c>
      <c r="AA9" s="50">
        <f t="shared" si="3"/>
        <v>1</v>
      </c>
      <c r="AB9" s="50">
        <f t="shared" si="4"/>
        <v>1</v>
      </c>
      <c r="AC9" s="50">
        <f t="shared" si="5"/>
        <v>1</v>
      </c>
    </row>
    <row r="10" spans="1:29" s="366" customFormat="1" ht="27">
      <c r="A10" s="363"/>
      <c r="B10" s="364" t="s">
        <v>1682</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62"/>
      <c r="Q10" s="530" t="str">
        <f t="shared" si="6"/>
        <v>土地使用年限（年）</v>
      </c>
      <c r="R10" s="664" t="s">
        <v>14</v>
      </c>
      <c r="S10" s="665">
        <f t="shared" si="0"/>
        <v>101</v>
      </c>
      <c r="T10" s="664" t="s">
        <v>14</v>
      </c>
      <c r="U10" s="665">
        <f t="shared" si="1"/>
        <v>101</v>
      </c>
      <c r="V10" s="664" t="s">
        <v>14</v>
      </c>
      <c r="W10" s="665">
        <f t="shared" si="2"/>
        <v>101</v>
      </c>
      <c r="X10" s="666"/>
      <c r="Y10" s="3366"/>
      <c r="Z10" s="50" t="str">
        <f t="shared" si="7"/>
        <v>土地使用年限（年）</v>
      </c>
      <c r="AA10" s="50">
        <f t="shared" si="3"/>
        <v>0.99009900990099009</v>
      </c>
      <c r="AB10" s="50">
        <f t="shared" si="4"/>
        <v>0.99009900990099009</v>
      </c>
      <c r="AC10" s="50">
        <f t="shared" si="5"/>
        <v>0.99009900990099009</v>
      </c>
    </row>
    <row r="11" spans="1:29" ht="15">
      <c r="A11" s="367"/>
      <c r="B11" s="364" t="s">
        <v>1683</v>
      </c>
      <c r="C11" s="368">
        <v>2</v>
      </c>
      <c r="D11" s="119">
        <v>100</v>
      </c>
      <c r="E11" s="368">
        <v>1.4</v>
      </c>
      <c r="F11" s="119">
        <f>LOOKUP(E11,79:79,80:80)-LOOKUP(C11,79:79,80:80)+100</f>
        <v>106</v>
      </c>
      <c r="G11" s="369">
        <v>1.9</v>
      </c>
      <c r="H11" s="119">
        <f>LOOKUP(G11,79:79,80:80)-LOOKUP(C11,79:79,80:80)+100</f>
        <v>103</v>
      </c>
      <c r="I11" s="368">
        <v>1.4</v>
      </c>
      <c r="J11" s="119">
        <f>LOOKUP(I11,79:79,80:80)-LOOKUP(C11,79:79,80:80)+100</f>
        <v>106</v>
      </c>
      <c r="K11" s="593">
        <v>3</v>
      </c>
      <c r="L11" s="2486"/>
      <c r="M11" s="2482"/>
      <c r="N11" s="2482"/>
      <c r="O11" s="2537"/>
      <c r="P11" s="3462"/>
      <c r="Q11" s="530" t="str">
        <f t="shared" si="6"/>
        <v>容积率</v>
      </c>
      <c r="R11" s="664" t="s">
        <v>14</v>
      </c>
      <c r="S11" s="665">
        <f t="shared" si="0"/>
        <v>106</v>
      </c>
      <c r="T11" s="664" t="s">
        <v>14</v>
      </c>
      <c r="U11" s="665">
        <f t="shared" si="1"/>
        <v>103</v>
      </c>
      <c r="V11" s="664" t="s">
        <v>14</v>
      </c>
      <c r="W11" s="665">
        <f t="shared" si="2"/>
        <v>106</v>
      </c>
      <c r="X11" s="666"/>
      <c r="Y11" s="3366"/>
      <c r="Z11" s="50" t="str">
        <f t="shared" si="7"/>
        <v>容积率</v>
      </c>
      <c r="AA11" s="50">
        <f t="shared" si="3"/>
        <v>0.94339622641509435</v>
      </c>
      <c r="AB11" s="50">
        <f t="shared" si="4"/>
        <v>0.970873786407767</v>
      </c>
      <c r="AC11" s="50">
        <f t="shared" si="5"/>
        <v>0.94339622641509435</v>
      </c>
    </row>
    <row r="12" spans="1:29" s="102" customFormat="1" ht="15">
      <c r="A12" s="370"/>
      <c r="B12" s="447" t="s">
        <v>1864</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62"/>
      <c r="Q12" s="530" t="str">
        <f t="shared" si="6"/>
        <v>配建</v>
      </c>
      <c r="R12" s="664" t="s">
        <v>14</v>
      </c>
      <c r="S12" s="665">
        <f t="shared" si="0"/>
        <v>100</v>
      </c>
      <c r="T12" s="664" t="s">
        <v>14</v>
      </c>
      <c r="U12" s="665">
        <f t="shared" si="1"/>
        <v>100</v>
      </c>
      <c r="V12" s="664" t="s">
        <v>14</v>
      </c>
      <c r="W12" s="665">
        <f t="shared" si="2"/>
        <v>100</v>
      </c>
      <c r="X12" s="666"/>
      <c r="Y12" s="33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62"/>
      <c r="Q13" s="530">
        <f t="shared" si="6"/>
        <v>111</v>
      </c>
      <c r="R13" s="664" t="s">
        <v>14</v>
      </c>
      <c r="S13" s="665">
        <f t="shared" si="0"/>
        <v>100</v>
      </c>
      <c r="T13" s="664" t="s">
        <v>14</v>
      </c>
      <c r="U13" s="665">
        <f t="shared" si="1"/>
        <v>100</v>
      </c>
      <c r="V13" s="664" t="s">
        <v>14</v>
      </c>
      <c r="W13" s="665">
        <f t="shared" si="2"/>
        <v>100</v>
      </c>
      <c r="X13" s="666"/>
      <c r="Y13" s="3366"/>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62"/>
      <c r="Q14" s="530">
        <f t="shared" si="6"/>
        <v>111</v>
      </c>
      <c r="R14" s="664" t="s">
        <v>14</v>
      </c>
      <c r="S14" s="665">
        <f t="shared" si="0"/>
        <v>100</v>
      </c>
      <c r="T14" s="664" t="s">
        <v>14</v>
      </c>
      <c r="U14" s="665">
        <f t="shared" si="1"/>
        <v>100</v>
      </c>
      <c r="V14" s="664" t="s">
        <v>14</v>
      </c>
      <c r="W14" s="665">
        <f t="shared" si="2"/>
        <v>100</v>
      </c>
      <c r="X14" s="666"/>
      <c r="Y14" s="3366"/>
      <c r="Z14" s="50">
        <f t="shared" si="7"/>
        <v>111</v>
      </c>
      <c r="AA14" s="50">
        <f>D14/F14</f>
        <v>1</v>
      </c>
      <c r="AB14" s="50">
        <f>D14/H14</f>
        <v>1</v>
      </c>
      <c r="AC14" s="50">
        <f>D14/J14</f>
        <v>1</v>
      </c>
    </row>
    <row r="15" spans="1:29" ht="99.75">
      <c r="A15" s="379" t="s">
        <v>1684</v>
      </c>
      <c r="B15" s="58" t="s">
        <v>1251</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96</v>
      </c>
      <c r="I15" s="383"/>
      <c r="J15" s="380">
        <f>SUMIF(87:87,I16,88:88)-SUMIF(87:87,C16,88:88)+100</f>
        <v>100</v>
      </c>
      <c r="K15" s="593">
        <v>2</v>
      </c>
      <c r="L15" s="2487"/>
      <c r="M15" s="2482"/>
      <c r="N15" s="2482"/>
      <c r="O15" s="2537"/>
      <c r="P15" s="3464" t="s">
        <v>1685</v>
      </c>
      <c r="Q15" s="1262" t="str">
        <f t="shared" si="6"/>
        <v>居住社区成熟度</v>
      </c>
      <c r="R15" s="667" t="s">
        <v>14</v>
      </c>
      <c r="S15" s="668">
        <f t="shared" si="0"/>
        <v>100</v>
      </c>
      <c r="T15" s="667" t="s">
        <v>14</v>
      </c>
      <c r="U15" s="668">
        <f t="shared" si="1"/>
        <v>96</v>
      </c>
      <c r="V15" s="667" t="s">
        <v>14</v>
      </c>
      <c r="W15" s="668">
        <f t="shared" si="2"/>
        <v>100</v>
      </c>
      <c r="X15" s="1264"/>
      <c r="Y15" s="3464" t="s">
        <v>1685</v>
      </c>
      <c r="Z15" s="1263" t="str">
        <f t="shared" si="7"/>
        <v>居住社区成熟度</v>
      </c>
      <c r="AA15" s="1263">
        <f t="shared" si="3"/>
        <v>1</v>
      </c>
      <c r="AB15" s="1263">
        <f t="shared" si="4"/>
        <v>1.0416666666666667</v>
      </c>
      <c r="AC15" s="1263">
        <f t="shared" si="5"/>
        <v>1</v>
      </c>
    </row>
    <row r="16" spans="1:29" ht="15">
      <c r="A16" s="367"/>
      <c r="B16" s="385"/>
      <c r="C16" s="386" t="s">
        <v>3420</v>
      </c>
      <c r="D16" s="387"/>
      <c r="E16" s="386" t="s">
        <v>3420</v>
      </c>
      <c r="F16" s="387"/>
      <c r="G16" s="386" t="s">
        <v>3419</v>
      </c>
      <c r="H16" s="389"/>
      <c r="I16" s="386" t="s">
        <v>3420</v>
      </c>
      <c r="J16" s="387"/>
      <c r="K16" s="592"/>
      <c r="L16" s="2487"/>
      <c r="M16" s="2482"/>
      <c r="N16" s="2482"/>
      <c r="O16" s="2537"/>
      <c r="P16" s="3465"/>
      <c r="Q16" s="1262"/>
      <c r="R16" s="667"/>
      <c r="S16" s="668"/>
      <c r="T16" s="667"/>
      <c r="U16" s="668"/>
      <c r="V16" s="667"/>
      <c r="W16" s="668"/>
      <c r="X16" s="1264"/>
      <c r="Y16" s="3465"/>
      <c r="Z16" s="1263"/>
      <c r="AA16" s="1263">
        <v>1</v>
      </c>
      <c r="AB16" s="1263">
        <v>1</v>
      </c>
      <c r="AC16" s="1263">
        <v>1</v>
      </c>
    </row>
    <row r="17" spans="1:29" ht="71.25" hidden="1">
      <c r="A17" s="367"/>
      <c r="B17" s="390" t="s">
        <v>1771</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65"/>
      <c r="Q17" s="1262" t="str">
        <f>B17</f>
        <v>商业繁华度</v>
      </c>
      <c r="R17" s="667" t="s">
        <v>14</v>
      </c>
      <c r="S17" s="668">
        <f>F17</f>
        <v>100</v>
      </c>
      <c r="T17" s="667" t="s">
        <v>14</v>
      </c>
      <c r="U17" s="668">
        <f>H17</f>
        <v>100</v>
      </c>
      <c r="V17" s="667" t="s">
        <v>14</v>
      </c>
      <c r="W17" s="668">
        <f>J17</f>
        <v>100</v>
      </c>
      <c r="X17" s="1264"/>
      <c r="Y17" s="3465"/>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7"/>
      <c r="M18" s="2482"/>
      <c r="N18" s="2482"/>
      <c r="O18" s="2537"/>
      <c r="P18" s="3465"/>
      <c r="Q18" s="1262"/>
      <c r="R18" s="667"/>
      <c r="S18" s="668"/>
      <c r="T18" s="667"/>
      <c r="U18" s="668"/>
      <c r="V18" s="667"/>
      <c r="W18" s="668"/>
      <c r="X18" s="1264"/>
      <c r="Y18" s="3465"/>
      <c r="Z18" s="1263"/>
      <c r="AA18" s="1263">
        <v>1</v>
      </c>
      <c r="AB18" s="1263">
        <v>1</v>
      </c>
      <c r="AC18" s="1263">
        <v>1</v>
      </c>
    </row>
    <row r="19" spans="1:29" ht="71.25" hidden="1">
      <c r="A19" s="367"/>
      <c r="B19" s="390" t="s">
        <v>1805</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65"/>
      <c r="Q19" s="1262" t="str">
        <f>B19</f>
        <v>办公集聚程度</v>
      </c>
      <c r="R19" s="667" t="s">
        <v>14</v>
      </c>
      <c r="S19" s="668">
        <f>F19</f>
        <v>100</v>
      </c>
      <c r="T19" s="667" t="s">
        <v>14</v>
      </c>
      <c r="U19" s="668">
        <f>H19</f>
        <v>100</v>
      </c>
      <c r="V19" s="667" t="s">
        <v>14</v>
      </c>
      <c r="W19" s="668">
        <f>J19</f>
        <v>100</v>
      </c>
      <c r="X19" s="1264"/>
      <c r="Y19" s="3465"/>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7"/>
      <c r="M20" s="2482"/>
      <c r="N20" s="2482"/>
      <c r="O20" s="2537"/>
      <c r="P20" s="3465"/>
      <c r="Q20" s="1262"/>
      <c r="R20" s="667"/>
      <c r="S20" s="668"/>
      <c r="T20" s="667"/>
      <c r="U20" s="668"/>
      <c r="V20" s="667"/>
      <c r="W20" s="668"/>
      <c r="X20" s="1264"/>
      <c r="Y20" s="3465"/>
      <c r="Z20" s="1263"/>
      <c r="AA20" s="1263">
        <v>1</v>
      </c>
      <c r="AB20" s="1263">
        <v>1</v>
      </c>
      <c r="AC20" s="1263">
        <v>1</v>
      </c>
    </row>
    <row r="21" spans="1:29" ht="85.5">
      <c r="A21" s="367"/>
      <c r="B21" s="390" t="s">
        <v>1827</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96</v>
      </c>
      <c r="I21" s="393"/>
      <c r="J21" s="389">
        <f>SUMIF(93:93,I22,94:94)-SUMIF(93:93,C22,94:94)+100</f>
        <v>100</v>
      </c>
      <c r="K21" s="593">
        <v>2</v>
      </c>
      <c r="L21" s="2487"/>
      <c r="M21" s="2482"/>
      <c r="N21" s="2482"/>
      <c r="O21" s="2537"/>
      <c r="P21" s="3465"/>
      <c r="Q21" s="1262" t="str">
        <f>B21</f>
        <v>交通便捷度</v>
      </c>
      <c r="R21" s="667" t="s">
        <v>14</v>
      </c>
      <c r="S21" s="668">
        <f>F21</f>
        <v>100</v>
      </c>
      <c r="T21" s="667" t="s">
        <v>14</v>
      </c>
      <c r="U21" s="668">
        <f>H21</f>
        <v>96</v>
      </c>
      <c r="V21" s="667" t="s">
        <v>14</v>
      </c>
      <c r="W21" s="668">
        <f>J21</f>
        <v>100</v>
      </c>
      <c r="X21" s="1264"/>
      <c r="Y21" s="3465"/>
      <c r="Z21" s="1263" t="str">
        <f>Q21</f>
        <v>交通便捷度</v>
      </c>
      <c r="AA21" s="1263">
        <f t="shared" si="3"/>
        <v>1</v>
      </c>
      <c r="AB21" s="1263">
        <f t="shared" si="4"/>
        <v>1.0416666666666667</v>
      </c>
      <c r="AC21" s="1263">
        <f t="shared" si="5"/>
        <v>1</v>
      </c>
    </row>
    <row r="22" spans="1:29" ht="15">
      <c r="A22" s="367"/>
      <c r="B22" s="586"/>
      <c r="C22" s="386" t="s">
        <v>3420</v>
      </c>
      <c r="D22" s="389"/>
      <c r="E22" s="386" t="s">
        <v>3420</v>
      </c>
      <c r="F22" s="387"/>
      <c r="G22" s="386" t="s">
        <v>3419</v>
      </c>
      <c r="H22" s="387"/>
      <c r="I22" s="386" t="s">
        <v>3420</v>
      </c>
      <c r="J22" s="387"/>
      <c r="K22" s="592"/>
      <c r="L22" s="2487"/>
      <c r="M22" s="2482"/>
      <c r="N22" s="2482"/>
      <c r="O22" s="2537"/>
      <c r="P22" s="3465"/>
      <c r="Q22" s="1262"/>
      <c r="R22" s="667"/>
      <c r="S22" s="668"/>
      <c r="T22" s="667"/>
      <c r="U22" s="668"/>
      <c r="V22" s="667"/>
      <c r="W22" s="668"/>
      <c r="X22" s="1264"/>
      <c r="Y22" s="3465"/>
      <c r="Z22" s="1263"/>
      <c r="AA22" s="1263">
        <v>1</v>
      </c>
      <c r="AB22" s="1263">
        <v>1</v>
      </c>
      <c r="AC22" s="1263">
        <v>1</v>
      </c>
    </row>
    <row r="23" spans="1:29" ht="15">
      <c r="A23" s="348"/>
      <c r="B23" s="390" t="s">
        <v>1865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7"/>
      <c r="M23" s="2482"/>
      <c r="N23" s="2482"/>
      <c r="O23" s="2537"/>
      <c r="P23" s="3465"/>
      <c r="Q23" s="1262" t="str">
        <f t="shared" ref="Q23:Q37" si="8">B23</f>
        <v>区域土地利用方向</v>
      </c>
      <c r="R23" s="667" t="s">
        <v>14</v>
      </c>
      <c r="S23" s="668">
        <f>F23</f>
        <v>100</v>
      </c>
      <c r="T23" s="667" t="s">
        <v>14</v>
      </c>
      <c r="U23" s="668">
        <f>H23</f>
        <v>100</v>
      </c>
      <c r="V23" s="667" t="s">
        <v>14</v>
      </c>
      <c r="W23" s="668">
        <f>J23</f>
        <v>100</v>
      </c>
      <c r="X23" s="1264"/>
      <c r="Y23" s="3465"/>
      <c r="Z23" s="1263" t="str">
        <f>Q23</f>
        <v>区域土地利用方向</v>
      </c>
      <c r="AA23" s="1263">
        <f t="shared" si="3"/>
        <v>1</v>
      </c>
      <c r="AB23" s="1263">
        <f t="shared" si="4"/>
        <v>1</v>
      </c>
      <c r="AC23" s="1263">
        <f t="shared" si="5"/>
        <v>1</v>
      </c>
    </row>
    <row r="24" spans="1:29" ht="15">
      <c r="A24" s="348"/>
      <c r="B24" s="395"/>
      <c r="C24" s="542" t="s">
        <v>3420</v>
      </c>
      <c r="D24" s="387"/>
      <c r="E24" s="542" t="s">
        <v>3420</v>
      </c>
      <c r="F24" s="387"/>
      <c r="G24" s="542" t="s">
        <v>3420</v>
      </c>
      <c r="H24" s="387"/>
      <c r="I24" s="542" t="s">
        <v>3420</v>
      </c>
      <c r="J24" s="387"/>
      <c r="K24" s="698"/>
      <c r="L24" s="2487"/>
      <c r="M24" s="2482"/>
      <c r="N24" s="2482"/>
      <c r="O24" s="2537"/>
      <c r="P24" s="3465"/>
      <c r="Q24" s="1262"/>
      <c r="R24" s="667"/>
      <c r="S24" s="668"/>
      <c r="T24" s="667"/>
      <c r="U24" s="668"/>
      <c r="V24" s="667"/>
      <c r="W24" s="668"/>
      <c r="X24" s="1264"/>
      <c r="Y24" s="3465"/>
      <c r="Z24" s="1263"/>
      <c r="AA24" s="1263"/>
      <c r="AB24" s="1263"/>
      <c r="AC24" s="1263"/>
    </row>
    <row r="25" spans="1:29" ht="57">
      <c r="A25" s="348"/>
      <c r="B25" s="586" t="s">
        <v>1866</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87"/>
      <c r="M25" s="2482"/>
      <c r="N25" s="2482"/>
      <c r="O25" s="2537"/>
      <c r="P25" s="3465"/>
      <c r="Q25" s="1262" t="str">
        <f t="shared" si="8"/>
        <v>自然及人文环境状况</v>
      </c>
      <c r="R25" s="667" t="s">
        <v>14</v>
      </c>
      <c r="S25" s="668">
        <f>F25</f>
        <v>100</v>
      </c>
      <c r="T25" s="667" t="s">
        <v>14</v>
      </c>
      <c r="U25" s="668">
        <f>H25</f>
        <v>100</v>
      </c>
      <c r="V25" s="667" t="s">
        <v>14</v>
      </c>
      <c r="W25" s="668">
        <f>J25</f>
        <v>100</v>
      </c>
      <c r="X25" s="1264"/>
      <c r="Y25" s="3465"/>
      <c r="Z25" s="1263" t="str">
        <f>Q25</f>
        <v>自然及人文环境状况</v>
      </c>
      <c r="AA25" s="1263">
        <f t="shared" si="3"/>
        <v>1</v>
      </c>
      <c r="AB25" s="1263">
        <f t="shared" si="4"/>
        <v>1</v>
      </c>
      <c r="AC25" s="1263">
        <f t="shared" si="5"/>
        <v>1</v>
      </c>
    </row>
    <row r="26" spans="1:29" ht="15">
      <c r="A26" s="348"/>
      <c r="B26" s="395"/>
      <c r="C26" s="386" t="s">
        <v>3419</v>
      </c>
      <c r="D26" s="387"/>
      <c r="E26" s="386" t="s">
        <v>3419</v>
      </c>
      <c r="F26" s="387"/>
      <c r="G26" s="386" t="s">
        <v>3419</v>
      </c>
      <c r="H26" s="387"/>
      <c r="I26" s="386" t="s">
        <v>3419</v>
      </c>
      <c r="J26" s="387"/>
      <c r="K26" s="592"/>
      <c r="L26" s="2487"/>
      <c r="M26" s="2482"/>
      <c r="N26" s="2482"/>
      <c r="O26" s="2537"/>
      <c r="P26" s="3465"/>
      <c r="Q26" s="1262"/>
      <c r="R26" s="667"/>
      <c r="S26" s="668"/>
      <c r="T26" s="667"/>
      <c r="U26" s="668"/>
      <c r="V26" s="667"/>
      <c r="W26" s="668"/>
      <c r="X26" s="1264"/>
      <c r="Y26" s="3465"/>
      <c r="Z26" s="1263"/>
      <c r="AA26" s="1263">
        <v>1</v>
      </c>
      <c r="AB26" s="1263">
        <v>1</v>
      </c>
      <c r="AC26" s="1263">
        <v>1</v>
      </c>
    </row>
    <row r="27" spans="1:29" s="102" customFormat="1" ht="42.75">
      <c r="A27" s="443"/>
      <c r="B27" s="586" t="s">
        <v>1772</v>
      </c>
      <c r="C27" s="1752" t="str">
        <f>估价对象房地状况!C21</f>
        <v>估价对象所在区域公共配套设施齐备情况</v>
      </c>
      <c r="D27" s="389">
        <v>100</v>
      </c>
      <c r="E27" s="391"/>
      <c r="F27" s="389">
        <f>SUMIF(99:99,E28,100:100)-SUMIF(99:99,C28,100:100)+100</f>
        <v>102</v>
      </c>
      <c r="G27" s="391"/>
      <c r="H27" s="389">
        <f>SUMIF(99:99,G28,100:100)-SUMIF(99:99,C28,100:100)+100</f>
        <v>98</v>
      </c>
      <c r="I27" s="393"/>
      <c r="J27" s="389">
        <f>SUMIF(99:99,I28,100:100)-SUMIF(99:99,C28,100:100)+100</f>
        <v>102</v>
      </c>
      <c r="K27" s="593">
        <v>2</v>
      </c>
      <c r="L27" s="2483"/>
      <c r="M27" s="2435"/>
      <c r="N27" s="2435"/>
      <c r="O27" s="2535"/>
      <c r="P27" s="3465"/>
      <c r="Q27" s="530" t="str">
        <f t="shared" si="8"/>
        <v>公共配套设施</v>
      </c>
      <c r="R27" s="664" t="s">
        <v>14</v>
      </c>
      <c r="S27" s="665">
        <f>F27</f>
        <v>102</v>
      </c>
      <c r="T27" s="664" t="s">
        <v>14</v>
      </c>
      <c r="U27" s="665">
        <f>H27</f>
        <v>98</v>
      </c>
      <c r="V27" s="664" t="s">
        <v>14</v>
      </c>
      <c r="W27" s="665">
        <f>J27</f>
        <v>102</v>
      </c>
      <c r="X27" s="666"/>
      <c r="Y27" s="3465"/>
      <c r="Z27" s="50" t="str">
        <f>Q27</f>
        <v>公共配套设施</v>
      </c>
      <c r="AA27" s="1263">
        <f>D27/F27</f>
        <v>0.98039215686274506</v>
      </c>
      <c r="AB27" s="1263">
        <f>D27/H27</f>
        <v>1.0204081632653061</v>
      </c>
      <c r="AC27" s="1263">
        <f>D27/J27</f>
        <v>0.98039215686274506</v>
      </c>
    </row>
    <row r="28" spans="1:29" s="102" customFormat="1" ht="15">
      <c r="A28" s="443"/>
      <c r="B28" s="395"/>
      <c r="C28" s="1822" t="s">
        <v>3418</v>
      </c>
      <c r="D28" s="387"/>
      <c r="E28" s="1756" t="s">
        <v>3420</v>
      </c>
      <c r="F28" s="387"/>
      <c r="G28" s="1756" t="s">
        <v>3419</v>
      </c>
      <c r="H28" s="387"/>
      <c r="I28" s="386" t="s">
        <v>3420</v>
      </c>
      <c r="J28" s="387"/>
      <c r="K28" s="592"/>
      <c r="L28" s="2483"/>
      <c r="M28" s="2435"/>
      <c r="N28" s="2435"/>
      <c r="O28" s="2535"/>
      <c r="P28" s="3465"/>
      <c r="Q28" s="530"/>
      <c r="R28" s="664"/>
      <c r="S28" s="665"/>
      <c r="T28" s="664"/>
      <c r="U28" s="665"/>
      <c r="V28" s="664"/>
      <c r="W28" s="665"/>
      <c r="X28" s="666"/>
      <c r="Y28" s="3465"/>
      <c r="Z28" s="50"/>
      <c r="AA28" s="1263">
        <v>1</v>
      </c>
      <c r="AB28" s="1263">
        <v>1</v>
      </c>
      <c r="AC28" s="1263">
        <v>1</v>
      </c>
    </row>
    <row r="29" spans="1:29" s="102" customFormat="1" ht="28.5">
      <c r="A29" s="443"/>
      <c r="B29" s="586" t="s">
        <v>1773</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5"/>
      <c r="N29" s="2435"/>
      <c r="O29" s="2535"/>
      <c r="P29" s="3465"/>
      <c r="Q29" s="530" t="str">
        <f t="shared" ref="Q29" si="9">B29</f>
        <v>基础设施水平</v>
      </c>
      <c r="R29" s="664" t="s">
        <v>14</v>
      </c>
      <c r="S29" s="665">
        <f>F29</f>
        <v>100</v>
      </c>
      <c r="T29" s="664" t="s">
        <v>14</v>
      </c>
      <c r="U29" s="665">
        <f>H29</f>
        <v>100</v>
      </c>
      <c r="V29" s="664" t="s">
        <v>14</v>
      </c>
      <c r="W29" s="665">
        <f>J29</f>
        <v>100</v>
      </c>
      <c r="X29" s="666"/>
      <c r="Y29" s="3465"/>
      <c r="Z29" s="50" t="str">
        <f>Q29</f>
        <v>基础设施水平</v>
      </c>
      <c r="AA29" s="1263">
        <f>D29/F29</f>
        <v>1</v>
      </c>
      <c r="AB29" s="1263">
        <f>D29/H29</f>
        <v>1</v>
      </c>
      <c r="AC29" s="1263">
        <f>D29/J29</f>
        <v>1</v>
      </c>
    </row>
    <row r="30" spans="1:29" s="102" customFormat="1" ht="15">
      <c r="A30" s="443"/>
      <c r="B30" s="395"/>
      <c r="C30" s="1822" t="s">
        <v>3410</v>
      </c>
      <c r="D30" s="387"/>
      <c r="E30" s="1822" t="s">
        <v>3410</v>
      </c>
      <c r="F30" s="387"/>
      <c r="G30" s="1822" t="s">
        <v>3410</v>
      </c>
      <c r="H30" s="387"/>
      <c r="I30" s="1822" t="s">
        <v>3410</v>
      </c>
      <c r="J30" s="387"/>
      <c r="K30" s="592"/>
      <c r="L30" s="2483"/>
      <c r="M30" s="2435"/>
      <c r="N30" s="2435"/>
      <c r="O30" s="2535"/>
      <c r="P30" s="3465"/>
      <c r="Q30" s="530"/>
      <c r="R30" s="664"/>
      <c r="S30" s="665"/>
      <c r="T30" s="664"/>
      <c r="U30" s="665"/>
      <c r="V30" s="664"/>
      <c r="W30" s="665"/>
      <c r="X30" s="666"/>
      <c r="Y30" s="3465"/>
      <c r="Z30" s="50"/>
      <c r="AA30" s="1263">
        <v>1</v>
      </c>
      <c r="AB30" s="1263">
        <v>1</v>
      </c>
      <c r="AC30" s="1263">
        <v>1</v>
      </c>
    </row>
    <row r="31" spans="1:29" ht="15">
      <c r="A31" s="367"/>
      <c r="B31" s="395" t="s">
        <v>1774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6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65"/>
      <c r="Z31" s="1263" t="str">
        <f t="shared" ref="Z31:Z45" si="13">Q31</f>
        <v>临街状况</v>
      </c>
      <c r="AA31" s="1263">
        <f t="shared" si="3"/>
        <v>1</v>
      </c>
      <c r="AB31" s="1263">
        <f t="shared" si="4"/>
        <v>1</v>
      </c>
      <c r="AC31" s="1263">
        <f t="shared" si="5"/>
        <v>1</v>
      </c>
    </row>
    <row r="32" spans="1:29" ht="27">
      <c r="A32" s="367"/>
      <c r="B32" s="586" t="s">
        <v>1809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65"/>
      <c r="Q32" s="1262" t="str">
        <f t="shared" si="8"/>
        <v>毗邻道路的类型与等级</v>
      </c>
      <c r="R32" s="667" t="s">
        <v>14</v>
      </c>
      <c r="S32" s="668">
        <f t="shared" si="10"/>
        <v>100</v>
      </c>
      <c r="T32" s="667" t="s">
        <v>14</v>
      </c>
      <c r="U32" s="668">
        <f t="shared" si="11"/>
        <v>100</v>
      </c>
      <c r="V32" s="667" t="s">
        <v>14</v>
      </c>
      <c r="W32" s="668">
        <f t="shared" si="12"/>
        <v>100</v>
      </c>
      <c r="X32" s="1264"/>
      <c r="Y32" s="3465"/>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7"/>
      <c r="M33" s="2482"/>
      <c r="N33" s="2482"/>
      <c r="O33" s="2537"/>
      <c r="P33" s="3465"/>
      <c r="Q33" s="1262"/>
      <c r="R33" s="667"/>
      <c r="S33" s="668"/>
      <c r="T33" s="667"/>
      <c r="U33" s="668"/>
      <c r="V33" s="667"/>
      <c r="W33" s="668"/>
      <c r="X33" s="1264"/>
      <c r="Y33" s="3465"/>
      <c r="Z33" s="1263"/>
      <c r="AA33" s="1263">
        <v>1</v>
      </c>
      <c r="AB33" s="1263">
        <v>1</v>
      </c>
      <c r="AC33" s="1263">
        <v>1</v>
      </c>
    </row>
    <row r="34" spans="1:29" ht="15">
      <c r="A34" s="367"/>
      <c r="B34" s="364" t="s">
        <v>1867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65"/>
      <c r="Q34" s="1262" t="str">
        <f t="shared" si="8"/>
        <v>土地级别</v>
      </c>
      <c r="R34" s="667" t="s">
        <v>14</v>
      </c>
      <c r="S34" s="668">
        <f t="shared" si="10"/>
        <v>100</v>
      </c>
      <c r="T34" s="667" t="s">
        <v>14</v>
      </c>
      <c r="U34" s="668">
        <f t="shared" si="11"/>
        <v>100</v>
      </c>
      <c r="V34" s="667" t="s">
        <v>14</v>
      </c>
      <c r="W34" s="668">
        <f t="shared" si="12"/>
        <v>100</v>
      </c>
      <c r="X34" s="1264"/>
      <c r="Y34" s="346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65"/>
      <c r="Q35" s="1262">
        <f t="shared" si="8"/>
        <v>111</v>
      </c>
      <c r="R35" s="667" t="s">
        <v>14</v>
      </c>
      <c r="S35" s="668">
        <f t="shared" si="10"/>
        <v>100</v>
      </c>
      <c r="T35" s="667" t="s">
        <v>14</v>
      </c>
      <c r="U35" s="668">
        <f t="shared" si="11"/>
        <v>100</v>
      </c>
      <c r="V35" s="667" t="s">
        <v>14</v>
      </c>
      <c r="W35" s="668">
        <f t="shared" si="12"/>
        <v>100</v>
      </c>
      <c r="X35" s="1264"/>
      <c r="Y35" s="346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10" t="s">
        <v>1690</v>
      </c>
      <c r="Q36" s="1262">
        <f t="shared" si="8"/>
        <v>111</v>
      </c>
      <c r="R36" s="667" t="s">
        <v>14</v>
      </c>
      <c r="S36" s="668">
        <f t="shared" si="10"/>
        <v>100</v>
      </c>
      <c r="T36" s="667" t="s">
        <v>14</v>
      </c>
      <c r="U36" s="668">
        <f t="shared" si="11"/>
        <v>100</v>
      </c>
      <c r="V36" s="667" t="s">
        <v>14</v>
      </c>
      <c r="W36" s="668">
        <f t="shared" si="12"/>
        <v>100</v>
      </c>
      <c r="X36" s="1264"/>
      <c r="Y36" s="3469" t="s">
        <v>1690</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69"/>
      <c r="Q37" s="1262">
        <f t="shared" si="8"/>
        <v>111</v>
      </c>
      <c r="R37" s="669" t="s">
        <v>14</v>
      </c>
      <c r="S37" s="670">
        <f t="shared" si="10"/>
        <v>100</v>
      </c>
      <c r="T37" s="669" t="s">
        <v>14</v>
      </c>
      <c r="U37" s="670">
        <f t="shared" si="11"/>
        <v>100</v>
      </c>
      <c r="V37" s="669" t="s">
        <v>14</v>
      </c>
      <c r="W37" s="670">
        <f t="shared" si="12"/>
        <v>100</v>
      </c>
      <c r="X37" s="671"/>
      <c r="Y37" s="3469"/>
      <c r="Z37" s="672">
        <f t="shared" si="13"/>
        <v>111</v>
      </c>
      <c r="AA37" s="1263">
        <f t="shared" si="3"/>
        <v>1</v>
      </c>
      <c r="AB37" s="1263">
        <f t="shared" si="4"/>
        <v>1</v>
      </c>
      <c r="AC37" s="1263">
        <f t="shared" si="5"/>
        <v>1</v>
      </c>
    </row>
    <row r="38" spans="1:29" ht="15">
      <c r="A38" s="409" t="s">
        <v>1688</v>
      </c>
      <c r="B38" s="395" t="s">
        <v>1868</v>
      </c>
      <c r="C38" s="599">
        <v>59935.17</v>
      </c>
      <c r="D38" s="405">
        <v>100</v>
      </c>
      <c r="E38" s="599">
        <f>土地案例!$I$4</f>
        <v>80482</v>
      </c>
      <c r="F38" s="405">
        <f>LOOKUP(E38,116:116,117:117)-LOOKUP(C38,116:116,117:117)+100</f>
        <v>101</v>
      </c>
      <c r="G38" s="599">
        <f>土地案例!$I$9</f>
        <v>61705.83</v>
      </c>
      <c r="H38" s="405">
        <f>LOOKUP(G38,116:116,117:117)-LOOKUP(C38,116:116,117:117)+100</f>
        <v>101</v>
      </c>
      <c r="I38" s="462">
        <f>土地案例!$I$11</f>
        <v>85922.2</v>
      </c>
      <c r="J38" s="405">
        <f>LOOKUP(I38,116:116,117:117)-LOOKUP(C38,116:116,117:117)+100</f>
        <v>101</v>
      </c>
      <c r="K38" s="539"/>
      <c r="L38" s="2487"/>
      <c r="M38" s="2482"/>
      <c r="N38" s="2482"/>
      <c r="O38" s="2537"/>
      <c r="P38" s="3469"/>
      <c r="Q38" s="1262" t="str">
        <f>B38</f>
        <v>宗地面积</v>
      </c>
      <c r="R38" s="667" t="s">
        <v>14</v>
      </c>
      <c r="S38" s="668">
        <f t="shared" si="10"/>
        <v>101</v>
      </c>
      <c r="T38" s="667" t="s">
        <v>14</v>
      </c>
      <c r="U38" s="668">
        <f t="shared" si="11"/>
        <v>101</v>
      </c>
      <c r="V38" s="667" t="s">
        <v>14</v>
      </c>
      <c r="W38" s="668">
        <f t="shared" si="12"/>
        <v>101</v>
      </c>
      <c r="X38" s="1264"/>
      <c r="Y38" s="3469"/>
      <c r="Z38" s="1263" t="str">
        <f t="shared" si="13"/>
        <v>宗地面积</v>
      </c>
      <c r="AA38" s="1263">
        <f t="shared" si="3"/>
        <v>0.99009900990099009</v>
      </c>
      <c r="AB38" s="1263">
        <f t="shared" si="4"/>
        <v>0.99009900990099009</v>
      </c>
      <c r="AC38" s="1263">
        <f t="shared" si="5"/>
        <v>0.99009900990099009</v>
      </c>
    </row>
    <row r="39" spans="1:29" ht="15">
      <c r="A39" s="409"/>
      <c r="B39" s="364" t="s">
        <v>1869</v>
      </c>
      <c r="C39" s="1758" t="s">
        <v>4134</v>
      </c>
      <c r="D39" s="374">
        <v>100</v>
      </c>
      <c r="E39" s="1758" t="s">
        <v>4134</v>
      </c>
      <c r="F39" s="374">
        <f>SUMIF(118:118,E39,119:119)-SUMIF(118:118,C39,119:119)+100</f>
        <v>100</v>
      </c>
      <c r="G39" s="1758" t="s">
        <v>4134</v>
      </c>
      <c r="H39" s="374">
        <f>SUMIF(118:118,G39,119:119)-SUMIF(118:118,C39,119:119)+100</f>
        <v>100</v>
      </c>
      <c r="I39" s="1758" t="s">
        <v>4134</v>
      </c>
      <c r="J39" s="374">
        <f>SUMIF(118:118,I39,119:119)-SUMIF(118:118,C39,119:119)+100</f>
        <v>100</v>
      </c>
      <c r="K39" s="538">
        <v>1</v>
      </c>
      <c r="L39" s="2487"/>
      <c r="M39" s="2482"/>
      <c r="N39" s="2482"/>
      <c r="O39" s="2537"/>
      <c r="P39" s="3469"/>
      <c r="Q39" s="1262" t="str">
        <f t="shared" ref="Q39:Q45" si="14">B39</f>
        <v>宗地形状</v>
      </c>
      <c r="R39" s="667" t="s">
        <v>14</v>
      </c>
      <c r="S39" s="668">
        <f t="shared" si="10"/>
        <v>100</v>
      </c>
      <c r="T39" s="667" t="s">
        <v>14</v>
      </c>
      <c r="U39" s="668">
        <f t="shared" si="11"/>
        <v>100</v>
      </c>
      <c r="V39" s="667" t="s">
        <v>14</v>
      </c>
      <c r="W39" s="668">
        <f t="shared" si="12"/>
        <v>100</v>
      </c>
      <c r="X39" s="1264"/>
      <c r="Y39" s="3469"/>
      <c r="Z39" s="1263" t="str">
        <f t="shared" si="13"/>
        <v>宗地形状</v>
      </c>
      <c r="AA39" s="1263">
        <f t="shared" si="3"/>
        <v>1</v>
      </c>
      <c r="AB39" s="1263">
        <f t="shared" si="4"/>
        <v>1</v>
      </c>
      <c r="AC39" s="1263">
        <f t="shared" si="5"/>
        <v>1</v>
      </c>
    </row>
    <row r="40" spans="1:29" ht="15" hidden="1">
      <c r="A40" s="409"/>
      <c r="B40" s="364" t="s">
        <v>1870</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7"/>
      <c r="M40" s="2482"/>
      <c r="N40" s="2482"/>
      <c r="O40" s="2537"/>
      <c r="P40" s="3469"/>
      <c r="Q40" s="1262" t="str">
        <f t="shared" si="14"/>
        <v>临街宽度及深度</v>
      </c>
      <c r="R40" s="667" t="s">
        <v>14</v>
      </c>
      <c r="S40" s="668">
        <f t="shared" si="10"/>
        <v>100</v>
      </c>
      <c r="T40" s="667" t="s">
        <v>14</v>
      </c>
      <c r="U40" s="668">
        <f t="shared" si="11"/>
        <v>100</v>
      </c>
      <c r="V40" s="667" t="s">
        <v>14</v>
      </c>
      <c r="W40" s="668">
        <f t="shared" si="12"/>
        <v>100</v>
      </c>
      <c r="X40" s="1264"/>
      <c r="Y40" s="3469"/>
      <c r="Z40" s="1263" t="str">
        <f t="shared" si="13"/>
        <v>临街宽度及深度</v>
      </c>
      <c r="AA40" s="1263">
        <f t="shared" si="3"/>
        <v>1</v>
      </c>
      <c r="AB40" s="1263">
        <f t="shared" si="4"/>
        <v>1</v>
      </c>
      <c r="AC40" s="1263">
        <f t="shared" si="5"/>
        <v>1</v>
      </c>
    </row>
    <row r="41" spans="1:29" s="102" customFormat="1" ht="15">
      <c r="A41" s="410"/>
      <c r="B41" s="364" t="s">
        <v>1871</v>
      </c>
      <c r="C41" s="1824" t="s">
        <v>4383</v>
      </c>
      <c r="D41" s="119">
        <v>100</v>
      </c>
      <c r="E41" s="1824" t="s">
        <v>4383</v>
      </c>
      <c r="F41" s="374">
        <f>SUMIF(122:122,E41,123:123)-SUMIF(122:122,C41,123:123)+100</f>
        <v>100</v>
      </c>
      <c r="G41" s="1824" t="s">
        <v>4383</v>
      </c>
      <c r="H41" s="374">
        <f>SUMIF(122:122,G41,123:123)-SUMIF(122:122,C41,123:123)+100</f>
        <v>100</v>
      </c>
      <c r="I41" s="1824" t="s">
        <v>4383</v>
      </c>
      <c r="J41" s="374">
        <f>SUMIF(122:122,I41,123:123)-SUMIF(122:122,C41,123:123)+100</f>
        <v>100</v>
      </c>
      <c r="K41" s="538">
        <v>1</v>
      </c>
      <c r="L41" s="2483"/>
      <c r="M41" s="2435"/>
      <c r="N41" s="2435"/>
      <c r="O41" s="2535"/>
      <c r="P41" s="3469"/>
      <c r="Q41" s="1262" t="str">
        <f t="shared" si="14"/>
        <v>宗地开发程度</v>
      </c>
      <c r="R41" s="664" t="s">
        <v>14</v>
      </c>
      <c r="S41" s="665">
        <f t="shared" si="10"/>
        <v>100</v>
      </c>
      <c r="T41" s="664" t="s">
        <v>14</v>
      </c>
      <c r="U41" s="665">
        <f t="shared" si="11"/>
        <v>100</v>
      </c>
      <c r="V41" s="664" t="s">
        <v>14</v>
      </c>
      <c r="W41" s="665">
        <f t="shared" si="12"/>
        <v>100</v>
      </c>
      <c r="X41" s="666"/>
      <c r="Y41" s="3469"/>
      <c r="Z41" s="50" t="str">
        <f t="shared" si="13"/>
        <v>宗地开发程度</v>
      </c>
      <c r="AA41" s="50">
        <f t="shared" si="3"/>
        <v>1</v>
      </c>
      <c r="AB41" s="50">
        <f t="shared" si="4"/>
        <v>1</v>
      </c>
      <c r="AC41" s="50">
        <f t="shared" si="5"/>
        <v>1</v>
      </c>
    </row>
    <row r="42" spans="1:29" ht="15">
      <c r="A42" s="409"/>
      <c r="B42" s="364" t="s">
        <v>1872</v>
      </c>
      <c r="C42" s="1758" t="s">
        <v>3420</v>
      </c>
      <c r="D42" s="374">
        <v>100</v>
      </c>
      <c r="E42" s="1758" t="s">
        <v>3420</v>
      </c>
      <c r="F42" s="374">
        <f>SUMIF(124:124,E42,125:125)-SUMIF(124:124,C42,125:125)+100</f>
        <v>100</v>
      </c>
      <c r="G42" s="1758" t="s">
        <v>3420</v>
      </c>
      <c r="H42" s="374">
        <f>SUMIF(124:124,G42,125:125)-SUMIF(124:124,C42,125:125)+100</f>
        <v>100</v>
      </c>
      <c r="I42" s="1758" t="s">
        <v>3420</v>
      </c>
      <c r="J42" s="374">
        <f>SUMIF(124:124,I42,125:125)-SUMIF(124:124,C42,125:125)+100</f>
        <v>100</v>
      </c>
      <c r="K42" s="538">
        <v>1</v>
      </c>
      <c r="L42" s="2487"/>
      <c r="M42" s="2482"/>
      <c r="N42" s="2482"/>
      <c r="O42" s="2537"/>
      <c r="P42" s="3469" t="s">
        <v>1690</v>
      </c>
      <c r="Q42" s="1262" t="str">
        <f t="shared" si="14"/>
        <v>工程地质条件</v>
      </c>
      <c r="R42" s="667" t="s">
        <v>14</v>
      </c>
      <c r="S42" s="668">
        <f t="shared" si="10"/>
        <v>100</v>
      </c>
      <c r="T42" s="667" t="s">
        <v>14</v>
      </c>
      <c r="U42" s="668">
        <f t="shared" si="11"/>
        <v>100</v>
      </c>
      <c r="V42" s="667" t="s">
        <v>14</v>
      </c>
      <c r="W42" s="668">
        <f t="shared" si="12"/>
        <v>100</v>
      </c>
      <c r="X42" s="1264"/>
      <c r="Y42" s="3469" t="s">
        <v>1690</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69"/>
      <c r="Q43" s="1262">
        <f t="shared" si="14"/>
        <v>111</v>
      </c>
      <c r="R43" s="667" t="s">
        <v>14</v>
      </c>
      <c r="S43" s="668">
        <f t="shared" si="10"/>
        <v>100</v>
      </c>
      <c r="T43" s="667" t="s">
        <v>14</v>
      </c>
      <c r="U43" s="668">
        <f t="shared" si="11"/>
        <v>100</v>
      </c>
      <c r="V43" s="667" t="s">
        <v>14</v>
      </c>
      <c r="W43" s="668">
        <f t="shared" si="12"/>
        <v>100</v>
      </c>
      <c r="X43" s="1264"/>
      <c r="Y43" s="3469"/>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69"/>
      <c r="Q44" s="1262">
        <f t="shared" si="14"/>
        <v>111</v>
      </c>
      <c r="R44" s="667" t="s">
        <v>14</v>
      </c>
      <c r="S44" s="668">
        <f t="shared" si="10"/>
        <v>100</v>
      </c>
      <c r="T44" s="667" t="s">
        <v>14</v>
      </c>
      <c r="U44" s="668">
        <f t="shared" si="11"/>
        <v>100</v>
      </c>
      <c r="V44" s="667" t="s">
        <v>14</v>
      </c>
      <c r="W44" s="668">
        <f t="shared" si="12"/>
        <v>100</v>
      </c>
      <c r="X44" s="1264"/>
      <c r="Y44" s="3469"/>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69"/>
      <c r="Q45" s="1262">
        <f t="shared" si="14"/>
        <v>111</v>
      </c>
      <c r="R45" s="669" t="s">
        <v>14</v>
      </c>
      <c r="S45" s="670">
        <f t="shared" si="10"/>
        <v>100</v>
      </c>
      <c r="T45" s="669" t="s">
        <v>14</v>
      </c>
      <c r="U45" s="670">
        <f t="shared" si="11"/>
        <v>100</v>
      </c>
      <c r="V45" s="669" t="s">
        <v>14</v>
      </c>
      <c r="W45" s="670">
        <f t="shared" si="12"/>
        <v>100</v>
      </c>
      <c r="X45" s="671"/>
      <c r="Y45" s="3469"/>
      <c r="Z45" s="672">
        <f t="shared" si="13"/>
        <v>111</v>
      </c>
      <c r="AA45" s="1263">
        <f t="shared" si="3"/>
        <v>1</v>
      </c>
      <c r="AB45" s="1263">
        <f t="shared" si="4"/>
        <v>1</v>
      </c>
      <c r="AC45" s="1263">
        <f t="shared" si="5"/>
        <v>1</v>
      </c>
    </row>
    <row r="46" spans="1:29" ht="15">
      <c r="A46" s="416" t="s">
        <v>1838</v>
      </c>
      <c r="B46" s="1826" t="s">
        <v>1873</v>
      </c>
      <c r="C46" s="602" t="s">
        <v>0</v>
      </c>
      <c r="D46" s="418"/>
      <c r="E46" s="419">
        <f>土地案例!$X$4</f>
        <v>1065</v>
      </c>
      <c r="F46" s="420"/>
      <c r="G46" s="421">
        <f>土地案例!$X$9</f>
        <v>908</v>
      </c>
      <c r="H46" s="422"/>
      <c r="I46" s="419">
        <f>土地案例!$X$11</f>
        <v>1126</v>
      </c>
      <c r="J46" s="422"/>
      <c r="K46" s="674"/>
      <c r="L46" s="2489"/>
      <c r="M46" s="2482"/>
      <c r="N46" s="2482"/>
      <c r="O46" s="2482"/>
      <c r="P46" s="3462" t="str">
        <f>A46</f>
        <v>成交单价</v>
      </c>
      <c r="Q46" s="3462"/>
      <c r="R46" s="3463">
        <f>E46</f>
        <v>1065</v>
      </c>
      <c r="S46" s="3463"/>
      <c r="T46" s="3463">
        <f>G46</f>
        <v>908</v>
      </c>
      <c r="U46" s="3463"/>
      <c r="V46" s="3463">
        <f>I46</f>
        <v>1126</v>
      </c>
      <c r="W46" s="3463"/>
      <c r="X46" s="385"/>
      <c r="Y46" s="673"/>
      <c r="Z46" s="385"/>
      <c r="AA46" s="385"/>
      <c r="AB46" s="385"/>
      <c r="AC46" s="385"/>
    </row>
    <row r="47" spans="1:29" ht="15.75" thickBot="1">
      <c r="A47" s="423" t="s">
        <v>1787</v>
      </c>
      <c r="B47" s="603"/>
      <c r="C47" s="426">
        <f>R48</f>
        <v>991</v>
      </c>
      <c r="D47" s="2137" t="s">
        <v>2132</v>
      </c>
      <c r="E47" s="426">
        <f>R47</f>
        <v>966</v>
      </c>
      <c r="F47" s="2138"/>
      <c r="G47" s="425">
        <f>T47</f>
        <v>968</v>
      </c>
      <c r="H47" s="2138"/>
      <c r="I47" s="426">
        <f>V47</f>
        <v>1038</v>
      </c>
      <c r="J47" s="2138"/>
      <c r="K47" s="2140">
        <f>F47+H47+J47</f>
        <v>0</v>
      </c>
      <c r="L47" s="2489"/>
      <c r="M47" s="2482"/>
      <c r="N47" s="2482"/>
      <c r="O47" s="2482"/>
      <c r="P47" s="3462" t="str">
        <f>A47</f>
        <v>比较价值（元/平方米）</v>
      </c>
      <c r="Q47" s="3462"/>
      <c r="R47" s="3507">
        <f>ROUND(PRODUCT(R46,AA7:AA45),0)</f>
        <v>966</v>
      </c>
      <c r="S47" s="3507"/>
      <c r="T47" s="3507">
        <f>ROUND(PRODUCT(T46,AB7:AB45),0)</f>
        <v>968</v>
      </c>
      <c r="U47" s="3507"/>
      <c r="V47" s="3507">
        <f>ROUND(PRODUCT(V46,AC7:AC45),0)</f>
        <v>1038</v>
      </c>
      <c r="W47" s="3507"/>
      <c r="X47" s="385"/>
      <c r="Y47" s="385"/>
      <c r="Z47" s="385"/>
      <c r="AA47" s="385"/>
      <c r="AB47" s="385"/>
      <c r="AC47" s="385"/>
    </row>
    <row r="48" spans="1:29" ht="15.75" thickBot="1">
      <c r="A48" s="427" t="s">
        <v>1874</v>
      </c>
      <c r="B48" s="428"/>
      <c r="C48" s="429">
        <f>R48</f>
        <v>991</v>
      </c>
      <c r="D48" s="429"/>
      <c r="E48" s="429"/>
      <c r="F48" s="429"/>
      <c r="G48" s="429"/>
      <c r="H48" s="429"/>
      <c r="I48" s="429"/>
      <c r="J48" s="429"/>
      <c r="K48" s="675"/>
      <c r="L48" s="2489"/>
      <c r="M48" s="2482"/>
      <c r="N48" s="2482"/>
      <c r="O48" s="2482"/>
      <c r="P48" s="3459" t="str">
        <f>A48</f>
        <v>估价对象XX用房的比较价值（楼面单价，元/平方米）</v>
      </c>
      <c r="Q48" s="3460"/>
      <c r="R48" s="3508">
        <f>ROUND(IF(D47="简单平均",AVERAGE(R47:W47),R47*F47+T47*H47+V47*J47),0)</f>
        <v>991</v>
      </c>
      <c r="S48" s="3508"/>
      <c r="T48" s="3508"/>
      <c r="U48" s="3508"/>
      <c r="V48" s="3508"/>
      <c r="W48" s="3508"/>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1789</v>
      </c>
      <c r="D51" s="433"/>
      <c r="E51" s="434">
        <f>IF(E46&lt;E47,E47/E46-1,E46/E47-1)</f>
        <v>0.10248447204968936</v>
      </c>
      <c r="F51" s="435" t="str">
        <f>IF(OR(E51&gt;=0.3,E51&lt;=-0.3),"超过30%","")</f>
        <v/>
      </c>
      <c r="G51" s="434">
        <f>IF(G46&lt;G47,G47/G46-1,G46/G47-1)</f>
        <v>6.6079295154185091E-2</v>
      </c>
      <c r="H51" s="435" t="str">
        <f>IF(OR(G51&gt;=0.3,G51&lt;=-0.3),"超过30%","")</f>
        <v/>
      </c>
      <c r="I51" s="434">
        <f>IF(I46&lt;I47,I47/I46-1,I46/I47-1)</f>
        <v>8.4778420038535751E-2</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1790</v>
      </c>
      <c r="D52" s="436"/>
      <c r="E52" s="434">
        <f>IF(E47&lt;G47,G47/E47-1,E47/G47-1)</f>
        <v>2.0703933747412417E-3</v>
      </c>
      <c r="F52" s="435" t="str">
        <f>IF(OR(E52&gt;=0.2,E52&lt;=-0.2),"超过20%","")</f>
        <v/>
      </c>
      <c r="G52" s="434">
        <f>IF(G47&lt;I47,I47/G47-1,G47/I47-1)</f>
        <v>7.2314049586776896E-2</v>
      </c>
      <c r="H52" s="435" t="str">
        <f>IF(OR(G52&gt;=0.2,G52&lt;=-0.2),"超过20%","")</f>
        <v/>
      </c>
      <c r="I52" s="434">
        <f>IF(I47&lt;E47,E47/I47-1,I47/E47-1)</f>
        <v>7.4534161490683148E-2</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1791</v>
      </c>
      <c r="D53" s="436"/>
      <c r="E53" s="434">
        <f>IF(E46&lt;G46,G46/E46-1,E46/G46-1)</f>
        <v>0.1729074889867841</v>
      </c>
      <c r="F53" s="435" t="str">
        <f>IF(OR(E53&gt;=0.3,E53&lt;=-0.3),"超过30%","")</f>
        <v/>
      </c>
      <c r="G53" s="434">
        <f>IF(G46&lt;I46,I46/G46-1,G46/I46-1)</f>
        <v>0.24008810572687223</v>
      </c>
      <c r="H53" s="435" t="str">
        <f>IF(OR(G53&gt;=0.3,G53&lt;=-0.3),"超过30%","")</f>
        <v/>
      </c>
      <c r="I53" s="434">
        <f>IF(I46&lt;E46,E46/I46-1,I46/E46-1)</f>
        <v>5.7276995305164391E-2</v>
      </c>
      <c r="J53" s="435"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1875</v>
      </c>
      <c r="B55" s="605" t="s">
        <v>1876</v>
      </c>
      <c r="C55" s="1827" t="s">
        <v>1877</v>
      </c>
      <c r="D55" s="1828" t="s">
        <v>1878</v>
      </c>
      <c r="E55" s="606" t="s">
        <v>1879</v>
      </c>
      <c r="F55" s="837" t="s">
        <v>1880</v>
      </c>
      <c r="G55" s="3477" t="s">
        <v>1881</v>
      </c>
      <c r="H55" s="3509"/>
      <c r="I55" s="127" t="s">
        <v>1882</v>
      </c>
      <c r="J55" s="1829" t="str">
        <f>项目基本情况!F35</f>
        <v>河北省张家口市</v>
      </c>
      <c r="K55" s="1830" t="s">
        <v>1883</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1884</v>
      </c>
      <c r="B56" s="609">
        <f>C48</f>
        <v>991</v>
      </c>
      <c r="C56" s="610">
        <v>1</v>
      </c>
      <c r="D56" s="890">
        <v>1</v>
      </c>
      <c r="E56" s="610">
        <f>'数据-汇总表'!E8+'数据-汇总表'!E9</f>
        <v>86196.960000000021</v>
      </c>
      <c r="F56" s="833">
        <f t="shared" ref="F56:F64" si="15">ROUND(B56*E56/10000,0)</f>
        <v>8542</v>
      </c>
      <c r="G56" s="3473"/>
      <c r="H56" s="3462"/>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1885</v>
      </c>
      <c r="B57" s="210">
        <f>ROUND($C$48*C57*D57,0)</f>
        <v>0</v>
      </c>
      <c r="C57" s="163">
        <f t="shared" ref="C57:C64" si="16">IF($C$55="北京市系数",I57,J57)</f>
        <v>0</v>
      </c>
      <c r="D57" s="891">
        <v>0.25</v>
      </c>
      <c r="E57" s="614"/>
      <c r="F57" s="833">
        <f t="shared" si="15"/>
        <v>0</v>
      </c>
      <c r="G57" s="2745" t="s">
        <v>1886</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1887</v>
      </c>
      <c r="B58" s="210">
        <f t="shared" ref="B58:B64" si="17">ROUND($C$48*C58*D58,0)</f>
        <v>0</v>
      </c>
      <c r="C58" s="163">
        <f t="shared" si="16"/>
        <v>0</v>
      </c>
      <c r="D58" s="891">
        <v>0.25</v>
      </c>
      <c r="E58" s="614"/>
      <c r="F58" s="833">
        <f t="shared" si="15"/>
        <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1888</v>
      </c>
      <c r="B59" s="210">
        <f t="shared" si="17"/>
        <v>0</v>
      </c>
      <c r="C59" s="163">
        <f t="shared" si="16"/>
        <v>0</v>
      </c>
      <c r="D59" s="891">
        <v>0.25</v>
      </c>
      <c r="E59" s="614"/>
      <c r="F59" s="833">
        <f t="shared" si="15"/>
        <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1889</v>
      </c>
      <c r="B60" s="210">
        <f t="shared" si="17"/>
        <v>0</v>
      </c>
      <c r="C60" s="163">
        <f t="shared" si="16"/>
        <v>0</v>
      </c>
      <c r="D60" s="891">
        <v>0.25</v>
      </c>
      <c r="E60" s="209">
        <f>'数据-汇总表'!E11</f>
        <v>0</v>
      </c>
      <c r="F60" s="833">
        <f t="shared" si="15"/>
        <v>0</v>
      </c>
      <c r="G60" s="1831" t="s">
        <v>1890</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1891</v>
      </c>
      <c r="B61" s="210">
        <f t="shared" si="17"/>
        <v>0</v>
      </c>
      <c r="C61" s="163">
        <f t="shared" si="16"/>
        <v>0</v>
      </c>
      <c r="D61" s="891">
        <v>0.25</v>
      </c>
      <c r="E61" s="209">
        <f>'数据-汇总表'!E12</f>
        <v>0</v>
      </c>
      <c r="F61" s="833">
        <f t="shared" si="15"/>
        <v>0</v>
      </c>
      <c r="G61" s="839" t="s">
        <v>1892</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1893</v>
      </c>
      <c r="B62" s="210">
        <f t="shared" si="17"/>
        <v>0</v>
      </c>
      <c r="C62" s="163">
        <f t="shared" si="16"/>
        <v>0</v>
      </c>
      <c r="D62" s="891">
        <v>0.25</v>
      </c>
      <c r="E62" s="209">
        <f>'数据-汇总表'!E13</f>
        <v>0</v>
      </c>
      <c r="F62" s="833">
        <f t="shared" si="15"/>
        <v>0</v>
      </c>
      <c r="G62" s="839" t="s">
        <v>1894</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1895</v>
      </c>
      <c r="B63" s="210">
        <f t="shared" si="17"/>
        <v>0</v>
      </c>
      <c r="C63" s="163">
        <f t="shared" si="16"/>
        <v>0</v>
      </c>
      <c r="D63" s="891">
        <v>0.25</v>
      </c>
      <c r="E63" s="209">
        <f>'数据-汇总表'!E14</f>
        <v>0</v>
      </c>
      <c r="F63" s="833">
        <f t="shared" si="15"/>
        <v>0</v>
      </c>
      <c r="G63" s="1831" t="s">
        <v>1886</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1896</v>
      </c>
      <c r="B64" s="210">
        <f t="shared" si="17"/>
        <v>0</v>
      </c>
      <c r="C64" s="163">
        <f t="shared" si="16"/>
        <v>0</v>
      </c>
      <c r="D64" s="891">
        <v>0.25</v>
      </c>
      <c r="E64" s="209">
        <f>'数据-汇总表'!E15</f>
        <v>0</v>
      </c>
      <c r="F64" s="833">
        <f t="shared" si="15"/>
        <v>0</v>
      </c>
      <c r="G64" s="1832" t="s">
        <v>1890</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1897</v>
      </c>
      <c r="B65" s="616" t="s">
        <v>22</v>
      </c>
      <c r="C65" s="616" t="s">
        <v>23</v>
      </c>
      <c r="D65" s="616" t="s">
        <v>392</v>
      </c>
      <c r="E65" s="616">
        <f>IF(B46="楼面地价",SUM(E56:E64),'数据-汇总表'!D3)</f>
        <v>86196.960000000021</v>
      </c>
      <c r="F65" s="617">
        <f>IF(B46="楼面地价",SUM(F56:F64),ROUND(C48*E65/10000,0))</f>
        <v>8542</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2023-12-1</v>
      </c>
      <c r="D67" s="656">
        <f>EDATE(C67,-3)</f>
        <v>45170</v>
      </c>
      <c r="E67" s="656">
        <f>EDATE(D67,-3)</f>
        <v>45078</v>
      </c>
      <c r="F67" s="656">
        <f t="shared" ref="F67:O67" si="18">EDATE(E67,-3)</f>
        <v>44986</v>
      </c>
      <c r="G67" s="656">
        <f t="shared" si="18"/>
        <v>44896</v>
      </c>
      <c r="H67" s="656">
        <f t="shared" si="18"/>
        <v>44805</v>
      </c>
      <c r="I67" s="656">
        <f t="shared" si="18"/>
        <v>44713</v>
      </c>
      <c r="J67" s="656">
        <f t="shared" si="18"/>
        <v>44621</v>
      </c>
      <c r="K67" s="656">
        <f t="shared" si="18"/>
        <v>44531</v>
      </c>
      <c r="L67" s="656">
        <f t="shared" si="18"/>
        <v>44440</v>
      </c>
      <c r="M67" s="656">
        <f t="shared" si="18"/>
        <v>44348</v>
      </c>
      <c r="N67" s="656">
        <f t="shared" si="18"/>
        <v>44256</v>
      </c>
      <c r="O67" s="656">
        <f t="shared" si="18"/>
        <v>44166</v>
      </c>
      <c r="P67" s="2482"/>
      <c r="Q67" s="2482"/>
      <c r="R67" s="2482"/>
      <c r="S67" s="2482"/>
      <c r="T67" s="2482"/>
      <c r="U67" s="2482"/>
      <c r="V67" s="2482"/>
      <c r="W67" s="2482"/>
      <c r="X67" s="2482"/>
      <c r="Y67" s="2482"/>
      <c r="Z67" s="2482"/>
      <c r="AA67" s="2482"/>
      <c r="AB67" s="2482"/>
      <c r="AC67" s="2482"/>
    </row>
    <row r="68" spans="1:29" ht="21.75" thickBot="1">
      <c r="A68" s="658" t="s">
        <v>1792</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29" t="s">
        <v>1898</v>
      </c>
      <c r="B69" s="1046"/>
      <c r="C69" s="1100" t="str">
        <f>YEAR(C67)&amp;"-"&amp;ROUNDUP(MONTH(C67)/3,0)</f>
        <v>2023-4</v>
      </c>
      <c r="D69" s="1100" t="str">
        <f>YEAR(D67)&amp;"-"&amp;ROUNDUP(MONTH(D67)/3,0)</f>
        <v>2023-3</v>
      </c>
      <c r="E69" s="1100" t="str">
        <f t="shared" ref="E69:O69" si="19">YEAR(E67)&amp;"-"&amp;ROUNDUP(MONTH(E67)/3,0)</f>
        <v>2023-2</v>
      </c>
      <c r="F69" s="1100" t="str">
        <f t="shared" si="19"/>
        <v>2023-1</v>
      </c>
      <c r="G69" s="1100" t="str">
        <f t="shared" si="19"/>
        <v>2022-4</v>
      </c>
      <c r="H69" s="1100" t="str">
        <f t="shared" si="19"/>
        <v>2022-3</v>
      </c>
      <c r="I69" s="1100" t="str">
        <f t="shared" si="19"/>
        <v>2022-2</v>
      </c>
      <c r="J69" s="1100" t="str">
        <f t="shared" si="19"/>
        <v>2022-1</v>
      </c>
      <c r="K69" s="1100" t="str">
        <f t="shared" si="19"/>
        <v>2021-4</v>
      </c>
      <c r="L69" s="1100" t="str">
        <f t="shared" si="19"/>
        <v>2021-3</v>
      </c>
      <c r="M69" s="1100" t="str">
        <f t="shared" si="19"/>
        <v>2021-2</v>
      </c>
      <c r="N69" s="1100" t="str">
        <f t="shared" si="19"/>
        <v>2021-1</v>
      </c>
      <c r="O69" s="1100" t="str">
        <f t="shared" si="19"/>
        <v>2020-4</v>
      </c>
      <c r="P69" s="2505"/>
      <c r="Q69" s="2505"/>
      <c r="R69" s="2505"/>
      <c r="S69" s="2505"/>
      <c r="T69" s="2505"/>
      <c r="U69" s="2505"/>
      <c r="V69" s="2505"/>
      <c r="W69" s="2505"/>
      <c r="X69" s="2505"/>
      <c r="Y69" s="2505"/>
      <c r="Z69" s="2505"/>
      <c r="AA69" s="2505"/>
      <c r="AB69" s="2505"/>
      <c r="AC69" s="2505"/>
    </row>
    <row r="70" spans="1:29" s="102" customFormat="1" ht="30" customHeight="1">
      <c r="A70" s="1833" t="s">
        <v>1899</v>
      </c>
      <c r="B70" s="280" t="str">
        <f>"北京市平均增长率"&amp;TEXT(SUMIF(基准地价修正!N25:N29,A70,基准地价修正!P25:P29),"0.00%")</f>
        <v>北京市平均增长率0.00%</v>
      </c>
      <c r="C70" s="530">
        <v>100</v>
      </c>
      <c r="D70" s="6">
        <f>C70-$C$71</f>
        <v>99.8</v>
      </c>
      <c r="E70" s="6">
        <f t="shared" ref="E70:P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2435"/>
      <c r="R70" s="2435"/>
      <c r="S70" s="2435"/>
      <c r="T70" s="2435"/>
      <c r="U70" s="2435"/>
      <c r="V70" s="2435"/>
      <c r="W70" s="2435"/>
      <c r="X70" s="2435"/>
      <c r="Y70" s="2435"/>
      <c r="Z70" s="2435"/>
      <c r="AA70" s="2435"/>
      <c r="AB70" s="2435"/>
      <c r="AC70" s="2435"/>
    </row>
    <row r="71" spans="1:29" s="102" customFormat="1" ht="15.75" thickBot="1">
      <c r="A71" s="449" t="s">
        <v>1710</v>
      </c>
      <c r="B71" s="450"/>
      <c r="C71" s="451">
        <v>0.2</v>
      </c>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5">
      <c r="A72" s="455" t="s">
        <v>1675</v>
      </c>
      <c r="B72" s="444"/>
      <c r="C72" s="456" t="s">
        <v>1770</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1713</v>
      </c>
      <c r="B74" s="460" t="s">
        <v>1679</v>
      </c>
      <c r="C74" s="3141" t="s">
        <v>4128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1682</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1683</v>
      </c>
      <c r="C78" s="478" t="str">
        <f>C79&amp;"（含）"&amp;"-"&amp;D79</f>
        <v>0（含）-0.5</v>
      </c>
      <c r="D78" s="478" t="str">
        <f t="shared" ref="D78:L78" si="21">D79&amp;"（含）"&amp;"-"&amp;E79</f>
        <v>0.5（含）-1</v>
      </c>
      <c r="E78" s="478" t="str">
        <f t="shared" si="21"/>
        <v>1（含）-1.5</v>
      </c>
      <c r="F78" s="478" t="str">
        <f t="shared" si="21"/>
        <v>1.5（含）-2</v>
      </c>
      <c r="G78" s="478" t="str">
        <f t="shared" si="21"/>
        <v>2（含）-</v>
      </c>
      <c r="H78" s="478" t="str">
        <f t="shared" si="21"/>
        <v>（含）-</v>
      </c>
      <c r="I78" s="478" t="str">
        <f t="shared" si="21"/>
        <v>（含）-</v>
      </c>
      <c r="J78" s="478" t="str">
        <f t="shared" si="21"/>
        <v>（含）-</v>
      </c>
      <c r="K78" s="478" t="str">
        <f t="shared" si="21"/>
        <v>（含）-</v>
      </c>
      <c r="L78" s="478" t="str">
        <f t="shared" si="21"/>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v>0</v>
      </c>
      <c r="D79" s="480">
        <v>0.5</v>
      </c>
      <c r="E79" s="480">
        <v>1</v>
      </c>
      <c r="F79" s="480">
        <v>1.5</v>
      </c>
      <c r="G79" s="480">
        <v>2</v>
      </c>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1684</v>
      </c>
      <c r="B87" s="460" t="s">
        <v>1714</v>
      </c>
      <c r="C87" s="504" t="s">
        <v>1715</v>
      </c>
      <c r="D87" s="504" t="s">
        <v>1716</v>
      </c>
      <c r="E87" s="504" t="s">
        <v>1717</v>
      </c>
      <c r="F87" s="504" t="s">
        <v>1718</v>
      </c>
      <c r="G87" s="504" t="s">
        <v>1719</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98</v>
      </c>
      <c r="E88" s="475">
        <f>D88-$K15</f>
        <v>96</v>
      </c>
      <c r="F88" s="475">
        <f>E88-$K15</f>
        <v>94</v>
      </c>
      <c r="G88" s="475">
        <f>F88-$K15</f>
        <v>92</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1900</v>
      </c>
      <c r="C89" s="509" t="s">
        <v>1715</v>
      </c>
      <c r="D89" s="509" t="s">
        <v>1716</v>
      </c>
      <c r="E89" s="509" t="s">
        <v>1717</v>
      </c>
      <c r="F89" s="509" t="s">
        <v>1718</v>
      </c>
      <c r="G89" s="509" t="s">
        <v>1719</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1815</v>
      </c>
      <c r="C91" s="509" t="s">
        <v>1715</v>
      </c>
      <c r="D91" s="509" t="s">
        <v>1716</v>
      </c>
      <c r="E91" s="509" t="s">
        <v>1717</v>
      </c>
      <c r="F91" s="509" t="s">
        <v>1718</v>
      </c>
      <c r="G91" s="509" t="s">
        <v>1719</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1720</v>
      </c>
      <c r="C93" s="509" t="s">
        <v>1715</v>
      </c>
      <c r="D93" s="509" t="s">
        <v>1716</v>
      </c>
      <c r="E93" s="509" t="s">
        <v>1717</v>
      </c>
      <c r="F93" s="509" t="s">
        <v>1718</v>
      </c>
      <c r="G93" s="509" t="s">
        <v>1719</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1901</v>
      </c>
      <c r="C95" s="509" t="s">
        <v>1715</v>
      </c>
      <c r="D95" s="509" t="s">
        <v>1716</v>
      </c>
      <c r="E95" s="509" t="s">
        <v>1717</v>
      </c>
      <c r="F95" s="509" t="s">
        <v>1718</v>
      </c>
      <c r="G95" s="509" t="s">
        <v>1719</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7.75" thickTop="1">
      <c r="A97" s="370"/>
      <c r="B97" s="469" t="s">
        <v>1902</v>
      </c>
      <c r="C97" s="504" t="s">
        <v>1715</v>
      </c>
      <c r="D97" s="504" t="s">
        <v>1716</v>
      </c>
      <c r="E97" s="504" t="s">
        <v>1717</v>
      </c>
      <c r="F97" s="504" t="s">
        <v>1718</v>
      </c>
      <c r="G97" s="504" t="s">
        <v>1719</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75" thickTop="1">
      <c r="A99" s="484"/>
      <c r="B99" s="469" t="s">
        <v>1772</v>
      </c>
      <c r="C99" s="504" t="s">
        <v>1715</v>
      </c>
      <c r="D99" s="504" t="s">
        <v>1716</v>
      </c>
      <c r="E99" s="504" t="s">
        <v>1717</v>
      </c>
      <c r="F99" s="504" t="s">
        <v>1718</v>
      </c>
      <c r="G99" s="504" t="s">
        <v>1719</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1773</v>
      </c>
      <c r="C101" s="581" t="s">
        <v>1793</v>
      </c>
      <c r="D101" s="581" t="s">
        <v>1794</v>
      </c>
      <c r="E101" s="581" t="s">
        <v>1795</v>
      </c>
      <c r="F101" s="581" t="s">
        <v>1796</v>
      </c>
      <c r="G101" s="581" t="s">
        <v>1797</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1809</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1867</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8.5">
      <c r="A115" s="379" t="s">
        <v>1688</v>
      </c>
      <c r="B115" s="460" t="s">
        <v>1907</v>
      </c>
      <c r="C115" s="461" t="str">
        <f>C116&amp;"(含)"&amp;"-"&amp;D116</f>
        <v>0(含)-30000</v>
      </c>
      <c r="D115" s="461" t="str">
        <f t="shared" ref="D115:M115" si="26">D116&amp;"(含)"&amp;"-"&amp;E116</f>
        <v>30000(含)-60000</v>
      </c>
      <c r="E115" s="461" t="str">
        <f t="shared" si="26"/>
        <v>60000(含)-90000</v>
      </c>
      <c r="F115" s="461" t="str">
        <f t="shared" si="26"/>
        <v>90000(含)-120000</v>
      </c>
      <c r="G115" s="461" t="str">
        <f t="shared" si="26"/>
        <v>120000(含)-</v>
      </c>
      <c r="H115" s="461" t="str">
        <f t="shared" si="26"/>
        <v>(含)-</v>
      </c>
      <c r="I115" s="461" t="str">
        <f t="shared" si="26"/>
        <v>(含)-</v>
      </c>
      <c r="J115" s="461" t="str">
        <f t="shared" si="26"/>
        <v>(含)-</v>
      </c>
      <c r="K115" s="461" t="str">
        <f t="shared" si="26"/>
        <v>(含)-</v>
      </c>
      <c r="L115" s="461" t="str">
        <f t="shared" si="26"/>
        <v>(含)-</v>
      </c>
      <c r="M115" s="461" t="str">
        <f t="shared" si="26"/>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v>0</v>
      </c>
      <c r="D116" s="6">
        <v>30000</v>
      </c>
      <c r="E116" s="6">
        <v>60000</v>
      </c>
      <c r="F116" s="6">
        <v>90000</v>
      </c>
      <c r="G116" s="6">
        <v>120000</v>
      </c>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v>100</v>
      </c>
      <c r="D117" s="521">
        <v>101</v>
      </c>
      <c r="E117" s="521">
        <v>102</v>
      </c>
      <c r="F117" s="521">
        <v>103</v>
      </c>
      <c r="G117" s="521">
        <v>104</v>
      </c>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1908</v>
      </c>
      <c r="C118" s="3143" t="s">
        <v>4135</v>
      </c>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1909</v>
      </c>
      <c r="C120" s="3142" t="s">
        <v>4136</v>
      </c>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1910</v>
      </c>
      <c r="C122" s="3189" t="s">
        <v>4129</v>
      </c>
      <c r="D122" s="3189" t="s">
        <v>4130</v>
      </c>
      <c r="E122" s="3189" t="s">
        <v>4131</v>
      </c>
      <c r="F122" s="3189" t="s">
        <v>4132</v>
      </c>
      <c r="G122" s="3189" t="s">
        <v>4133</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1911</v>
      </c>
      <c r="C124" s="3142" t="s">
        <v>4137</v>
      </c>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9" priority="13" stopIfTrue="1">
      <formula>$F$51="超过30%"</formula>
    </cfRule>
  </conditionalFormatting>
  <conditionalFormatting sqref="E52">
    <cfRule type="expression" dxfId="138" priority="11" stopIfTrue="1">
      <formula>$F$52="超过20%"</formula>
    </cfRule>
  </conditionalFormatting>
  <conditionalFormatting sqref="E53">
    <cfRule type="expression" dxfId="137" priority="10" stopIfTrue="1">
      <formula>$F$53="超过30%"</formula>
    </cfRule>
  </conditionalFormatting>
  <conditionalFormatting sqref="F7:F45 H7:H45 J7:J45">
    <cfRule type="cellIs" dxfId="136" priority="1" operator="notEqual">
      <formula>100</formula>
    </cfRule>
  </conditionalFormatting>
  <conditionalFormatting sqref="F47">
    <cfRule type="expression" dxfId="135" priority="4">
      <formula>$D$47="简单平均"</formula>
    </cfRule>
  </conditionalFormatting>
  <conditionalFormatting sqref="F51:F53 H51:H53 J51:J53">
    <cfRule type="containsText" dxfId="134" priority="14" stopIfTrue="1" operator="containsText" text="超过">
      <formula>NOT(ISERROR(SEARCH("超过",F51)))</formula>
    </cfRule>
  </conditionalFormatting>
  <conditionalFormatting sqref="G51">
    <cfRule type="expression" dxfId="133" priority="9" stopIfTrue="1">
      <formula>$H$53+$H$51="超过30%"</formula>
    </cfRule>
  </conditionalFormatting>
  <conditionalFormatting sqref="G52">
    <cfRule type="expression" dxfId="132" priority="8" stopIfTrue="1">
      <formula>$H$52="超过20%"</formula>
    </cfRule>
  </conditionalFormatting>
  <conditionalFormatting sqref="G53">
    <cfRule type="expression" dxfId="131" priority="12" stopIfTrue="1">
      <formula>$H$53="超过30%"</formula>
    </cfRule>
  </conditionalFormatting>
  <conditionalFormatting sqref="H47">
    <cfRule type="expression" dxfId="130" priority="3">
      <formula>$D$47="简单平均"</formula>
    </cfRule>
  </conditionalFormatting>
  <conditionalFormatting sqref="I51">
    <cfRule type="expression" dxfId="129" priority="7" stopIfTrue="1">
      <formula>$J$51="超过30%"</formula>
    </cfRule>
  </conditionalFormatting>
  <conditionalFormatting sqref="I52">
    <cfRule type="expression" dxfId="128" priority="6" stopIfTrue="1">
      <formula>$J$52="超过20%"</formula>
    </cfRule>
  </conditionalFormatting>
  <conditionalFormatting sqref="I53">
    <cfRule type="expression" dxfId="127" priority="5" stopIfTrue="1">
      <formula>$J$53="超过30%"</formula>
    </cfRule>
  </conditionalFormatting>
  <conditionalFormatting sqref="J47">
    <cfRule type="expression" dxfId="1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1455</v>
      </c>
      <c r="B1" s="1373"/>
      <c r="C1" s="1716" t="s">
        <v>1557</v>
      </c>
      <c r="D1" s="190"/>
      <c r="E1" s="190"/>
      <c r="F1" s="190"/>
      <c r="G1" s="1062">
        <f>MATCH(B1,'数据-取费表'!A6:A16,0)+5</f>
        <v>8</v>
      </c>
      <c r="H1" s="998" t="str">
        <f>IF(ISERROR(FIND("住宅",B1)),"非住宅","住宅")</f>
        <v>非住宅</v>
      </c>
    </row>
    <row r="2" spans="1:8" s="192" customFormat="1" ht="18" customHeight="1">
      <c r="A2" s="193" t="s">
        <v>1456</v>
      </c>
      <c r="B2" s="3117">
        <f ca="1">ROUND(IF(D2="——",C52/10000,C52/10000-E2),4)</f>
        <v>56296.772400000002</v>
      </c>
      <c r="C2" s="191" t="s">
        <v>1457</v>
      </c>
      <c r="D2" s="1710" t="s">
        <v>43</v>
      </c>
      <c r="E2" s="1089" t="e">
        <f ca="1">SUMIF(INDIRECT("'"&amp;G2&amp;"'"&amp;"!A:A"),"承租人权益价值",INDIRECT("'"&amp;G2&amp;"'"&amp;"!c:c"))</f>
        <v>#REF!</v>
      </c>
      <c r="F2" s="1711" t="s">
        <v>1457</v>
      </c>
      <c r="G2" s="1712"/>
    </row>
    <row r="3" spans="1:8" s="192" customFormat="1" ht="18" customHeight="1" thickBot="1">
      <c r="A3" s="195" t="s">
        <v>1458</v>
      </c>
      <c r="B3" s="196">
        <f ca="1">ROUND(B2*10000/(IF(B1="",'数据-汇总表'!E3,INDIRECT("'数据-取费表'!k"&amp;$G$1))),0)</f>
        <v>6531</v>
      </c>
      <c r="C3" s="191" t="s">
        <v>1459</v>
      </c>
      <c r="D3" s="191"/>
      <c r="E3" s="191"/>
      <c r="F3" s="191"/>
      <c r="G3" s="191"/>
    </row>
    <row r="4" spans="1:8" s="200" customFormat="1" ht="15.75">
      <c r="A4" s="197" t="s">
        <v>1460</v>
      </c>
      <c r="B4" s="198"/>
      <c r="C4" s="198"/>
      <c r="D4" s="198"/>
      <c r="E4" s="198"/>
      <c r="F4" s="198"/>
      <c r="G4" s="199"/>
    </row>
    <row r="5" spans="1:8" s="206" customFormat="1" ht="13.5" customHeight="1">
      <c r="A5" s="247" t="s">
        <v>1461</v>
      </c>
      <c r="B5" s="202" t="s">
        <v>1462</v>
      </c>
      <c r="C5" s="203">
        <f ca="1">C6+C7+C8</f>
        <v>10368671</v>
      </c>
      <c r="D5" s="203" t="s">
        <v>1463</v>
      </c>
      <c r="E5" s="204" t="s">
        <v>1464</v>
      </c>
      <c r="F5" s="204" t="s">
        <v>1465</v>
      </c>
      <c r="G5" s="205"/>
    </row>
    <row r="6" spans="1:8" s="206" customFormat="1" ht="13.5" customHeight="1">
      <c r="A6" s="732" t="s">
        <v>1466</v>
      </c>
      <c r="B6" s="207" t="s">
        <v>1467</v>
      </c>
      <c r="C6" s="208"/>
      <c r="D6" s="209"/>
      <c r="E6" s="210"/>
      <c r="F6" s="210"/>
      <c r="G6" s="211"/>
    </row>
    <row r="7" spans="1:8" s="206" customFormat="1" ht="13.5" customHeight="1">
      <c r="A7" s="732" t="s">
        <v>1468</v>
      </c>
      <c r="B7" s="207" t="s">
        <v>1469</v>
      </c>
      <c r="C7" s="212">
        <f>ROUND(C6*F7,0)</f>
        <v>0</v>
      </c>
      <c r="D7" s="212"/>
      <c r="E7" s="210"/>
      <c r="F7" s="213">
        <f>IF(项目基本情况!B8="出让",0,'数据-取费表'!B48+'数据-取费表'!B49)</f>
        <v>4.0500000000000001E-2</v>
      </c>
      <c r="G7" s="211"/>
    </row>
    <row r="8" spans="1:8" s="215" customFormat="1">
      <c r="A8" s="732" t="s">
        <v>1470</v>
      </c>
      <c r="B8" s="207" t="s">
        <v>1471</v>
      </c>
      <c r="C8" s="212">
        <f ca="1">IF(G8="已包含在土地购买价格中",0,C9+C10)</f>
        <v>10368671</v>
      </c>
      <c r="D8" s="214"/>
      <c r="E8" s="212"/>
      <c r="F8" s="213"/>
      <c r="G8" s="1713"/>
    </row>
    <row r="9" spans="1:8" s="206" customFormat="1" ht="13.5" customHeight="1">
      <c r="A9" s="733" t="s">
        <v>355</v>
      </c>
      <c r="B9" s="216" t="s">
        <v>1472</v>
      </c>
      <c r="C9" s="217">
        <f ca="1">ROUND(D9*E9,0)</f>
        <v>10268530</v>
      </c>
      <c r="D9" s="795">
        <f ca="1">IF(B1="",'数据-汇总表'!E5,IF(INDIRECT("'数据-取费表'!c"&amp;$G$1)="住宅",INDIRECT("'数据-取费表'!k"&amp;$G$1),0))</f>
        <v>85571.080000000016</v>
      </c>
      <c r="E9" s="217">
        <f>'数据-取费表'!B27</f>
        <v>120</v>
      </c>
      <c r="F9" s="213"/>
      <c r="G9" s="218"/>
    </row>
    <row r="10" spans="1:8" s="206" customFormat="1" ht="13.5" customHeight="1">
      <c r="A10" s="733" t="s">
        <v>356</v>
      </c>
      <c r="B10" s="216" t="s">
        <v>1474</v>
      </c>
      <c r="C10" s="217">
        <f ca="1">ROUND(D10*E10,0)</f>
        <v>100141</v>
      </c>
      <c r="D10" s="795">
        <f ca="1">IF(B1="",'数据-汇总表'!E6,IF(INDIRECT("'数据-取费表'!c"&amp;$G$1)="住宅",INDIRECT("'数据-取费表'!s"&amp;$G$1),INDIRECT("'数据-取费表'!k"&amp;$G$1)+INDIRECT("'数据-取费表'!s"&amp;$G$1)))</f>
        <v>625.88000000000466</v>
      </c>
      <c r="E10" s="217">
        <f>'数据-取费表'!B28</f>
        <v>160</v>
      </c>
      <c r="F10" s="213"/>
      <c r="G10" s="218"/>
    </row>
    <row r="11" spans="1:8" s="206" customFormat="1" ht="13.5" hidden="1" customHeight="1">
      <c r="A11" s="219" t="s">
        <v>4</v>
      </c>
      <c r="B11" s="207" t="s">
        <v>1475</v>
      </c>
      <c r="C11" s="203"/>
      <c r="D11" s="210"/>
      <c r="E11" s="210"/>
      <c r="F11" s="210"/>
      <c r="G11" s="211"/>
    </row>
    <row r="12" spans="1:8" s="206" customFormat="1" ht="13.5" hidden="1" customHeight="1">
      <c r="A12" s="219" t="s">
        <v>5</v>
      </c>
      <c r="B12" s="207" t="s">
        <v>1558</v>
      </c>
      <c r="C12" s="203">
        <v>0</v>
      </c>
      <c r="D12" s="210"/>
      <c r="E12" s="220"/>
      <c r="F12" s="213">
        <v>3.0499999999999999E-2</v>
      </c>
      <c r="G12" s="211"/>
    </row>
    <row r="13" spans="1:8" s="206" customFormat="1" ht="13.5" hidden="1" customHeight="1">
      <c r="A13" s="219" t="s">
        <v>6</v>
      </c>
      <c r="B13" s="207" t="s">
        <v>1559</v>
      </c>
      <c r="C13" s="203"/>
      <c r="D13" s="210"/>
      <c r="E13" s="210"/>
      <c r="F13" s="210"/>
      <c r="G13" s="211"/>
    </row>
    <row r="14" spans="1:8" s="206" customFormat="1" ht="13.5" hidden="1" customHeight="1">
      <c r="A14" s="219" t="s">
        <v>7</v>
      </c>
      <c r="B14" s="207" t="s">
        <v>1471</v>
      </c>
      <c r="C14" s="203"/>
      <c r="D14" s="210"/>
      <c r="E14" s="210"/>
      <c r="F14" s="210"/>
      <c r="G14" s="211" t="s">
        <v>1560</v>
      </c>
    </row>
    <row r="15" spans="1:8" s="206" customFormat="1" ht="13.5" hidden="1" customHeight="1">
      <c r="A15" s="219" t="s">
        <v>8</v>
      </c>
      <c r="B15" s="207" t="s">
        <v>1561</v>
      </c>
      <c r="C15" s="212"/>
      <c r="D15" s="210"/>
      <c r="E15" s="210"/>
      <c r="F15" s="210"/>
      <c r="G15" s="211" t="s">
        <v>1562</v>
      </c>
    </row>
    <row r="16" spans="1:8" s="206" customFormat="1" ht="13.5" hidden="1" customHeight="1">
      <c r="A16" s="219" t="s">
        <v>9</v>
      </c>
      <c r="B16" s="207" t="s">
        <v>1471</v>
      </c>
      <c r="C16" s="212"/>
      <c r="D16" s="210"/>
      <c r="E16" s="210"/>
      <c r="F16" s="210"/>
      <c r="G16" s="211"/>
    </row>
    <row r="17" spans="1:7" s="206" customFormat="1" ht="13.5" hidden="1" customHeight="1">
      <c r="A17" s="219" t="s">
        <v>10</v>
      </c>
      <c r="B17" s="207" t="s">
        <v>1563</v>
      </c>
      <c r="C17" s="221"/>
      <c r="D17" s="221"/>
      <c r="E17" s="221"/>
      <c r="F17" s="221"/>
      <c r="G17" s="211" t="s">
        <v>1562</v>
      </c>
    </row>
    <row r="18" spans="1:7" s="206" customFormat="1" ht="13.5" hidden="1" customHeight="1">
      <c r="A18" s="219" t="s">
        <v>11</v>
      </c>
      <c r="B18" s="207" t="s">
        <v>1564</v>
      </c>
      <c r="C18" s="212">
        <v>0</v>
      </c>
      <c r="D18" s="210"/>
      <c r="E18" s="210"/>
      <c r="F18" s="213">
        <v>3.0499999999999999E-2</v>
      </c>
      <c r="G18" s="211" t="s">
        <v>1565</v>
      </c>
    </row>
    <row r="19" spans="1:7" s="215" customFormat="1" ht="13.5" customHeight="1">
      <c r="A19" s="247" t="s">
        <v>1566</v>
      </c>
      <c r="B19" s="202" t="s">
        <v>1567</v>
      </c>
      <c r="C19" s="203">
        <f ca="1">IF(G19="已包含在土地取得成本中","0",ROUND(D19*E19,0))</f>
        <v>17239392</v>
      </c>
      <c r="D19" s="204">
        <f ca="1">D9+D10</f>
        <v>86196.960000000021</v>
      </c>
      <c r="E19" s="203">
        <f>'数据-取费表'!B31</f>
        <v>200</v>
      </c>
      <c r="F19" s="223"/>
      <c r="G19" s="1713"/>
    </row>
    <row r="20" spans="1:7" s="206" customFormat="1" ht="13.5" customHeight="1">
      <c r="A20" s="247" t="s">
        <v>1568</v>
      </c>
      <c r="B20" s="202" t="s">
        <v>1569</v>
      </c>
      <c r="C20" s="224">
        <f ca="1">ROUND((C5+C19)*F20,0)</f>
        <v>828242</v>
      </c>
      <c r="D20" s="224"/>
      <c r="E20" s="224"/>
      <c r="F20" s="225">
        <f>'数据-取费表'!B37</f>
        <v>0.03</v>
      </c>
      <c r="G20" s="226" t="s">
        <v>1570</v>
      </c>
    </row>
    <row r="21" spans="1:7" s="206" customFormat="1" ht="13.5" customHeight="1">
      <c r="A21" s="247" t="s">
        <v>1571</v>
      </c>
      <c r="B21" s="202" t="s">
        <v>1572</v>
      </c>
      <c r="C21" s="227">
        <f>F21</f>
        <v>0.03</v>
      </c>
      <c r="D21" s="228" t="s">
        <v>1573</v>
      </c>
      <c r="E21" s="224"/>
      <c r="F21" s="225">
        <f>'数据-取费表'!B38</f>
        <v>0.03</v>
      </c>
      <c r="G21" s="226" t="s">
        <v>1574</v>
      </c>
    </row>
    <row r="22" spans="1:7" s="206" customFormat="1" ht="13.5" customHeight="1">
      <c r="A22" s="247" t="s">
        <v>1575</v>
      </c>
      <c r="B22" s="202" t="s">
        <v>1576</v>
      </c>
      <c r="C22" s="224">
        <f ca="1">ROUND(SUM(C23:C25),0)</f>
        <v>1966391</v>
      </c>
      <c r="D22" s="227">
        <f ca="1">C26</f>
        <v>1E-3</v>
      </c>
      <c r="E22" s="228" t="s">
        <v>1573</v>
      </c>
      <c r="F22" s="229">
        <f ca="1">'数据-取费表'!B40</f>
        <v>3.4500000000000003E-2</v>
      </c>
      <c r="G22" s="226" t="str">
        <f>IF('数据-取费表'!B22&lt;=1,"单利计息","复利计息")</f>
        <v>复利计息</v>
      </c>
    </row>
    <row r="23" spans="1:7" s="206" customFormat="1" ht="13.5" customHeight="1">
      <c r="A23" s="734" t="s">
        <v>1466</v>
      </c>
      <c r="B23" s="207" t="s">
        <v>1577</v>
      </c>
      <c r="C23" s="230">
        <f ca="1">ROUND(IF('数据-取费表'!B22&lt;=1,C5*F22*'数据-取费表'!B22,C5*(POWER((1+F22),'数据-取费表'!B22)-1)),0)</f>
        <v>727780</v>
      </c>
      <c r="D23" s="230"/>
      <c r="E23" s="230"/>
      <c r="F23" s="231"/>
      <c r="G23" s="232" t="s">
        <v>1578</v>
      </c>
    </row>
    <row r="24" spans="1:7" s="206" customFormat="1" ht="13.5" customHeight="1">
      <c r="A24" s="734" t="s">
        <v>1468</v>
      </c>
      <c r="B24" s="207" t="s">
        <v>1579</v>
      </c>
      <c r="C24" s="230">
        <f ca="1">ROUND(IF('数据-取费表'!B22&lt;=1,C19*F22*('数据-取费表'!B19/2+'数据-取费表'!B20),C19*(POWER((1+F22),('数据-取费表'!B19/2+'数据-取费表'!B20))-1)),0)</f>
        <v>1210037</v>
      </c>
      <c r="D24" s="230"/>
      <c r="E24" s="230"/>
      <c r="F24" s="231"/>
      <c r="G24" s="232" t="s">
        <v>1580</v>
      </c>
    </row>
    <row r="25" spans="1:7" s="206" customFormat="1" ht="24">
      <c r="A25" s="734" t="s">
        <v>1470</v>
      </c>
      <c r="B25" s="207" t="s">
        <v>1581</v>
      </c>
      <c r="C25" s="230">
        <f ca="1">ROUND(IF('数据-取费表'!B22&lt;=1,C20*F22*'数据-取费表'!B22/2,C20*(POWER((1+F22),'数据-取费表'!B22/2)-1)),0)</f>
        <v>28574</v>
      </c>
      <c r="D25" s="230"/>
      <c r="E25" s="233"/>
      <c r="F25" s="231"/>
      <c r="G25" s="234" t="s">
        <v>1582</v>
      </c>
    </row>
    <row r="26" spans="1:7" s="206" customFormat="1">
      <c r="A26" s="734" t="s">
        <v>350</v>
      </c>
      <c r="B26" s="207" t="s">
        <v>1505</v>
      </c>
      <c r="C26" s="230">
        <f ca="1">ROUND(IF('数据-取费表'!B22&lt;=1,F21*F22*'数据-取费表'!B22/2,F21*(POWER((1+F22),'数据-取费表'!B22/2)-1)),4)</f>
        <v>1E-3</v>
      </c>
      <c r="D26" s="230"/>
      <c r="E26" s="233"/>
      <c r="F26" s="231"/>
      <c r="G26" s="235"/>
    </row>
    <row r="27" spans="1:7" s="206" customFormat="1" ht="24.75">
      <c r="A27" s="247" t="s">
        <v>1506</v>
      </c>
      <c r="B27" s="236" t="s">
        <v>1507</v>
      </c>
      <c r="C27" s="237">
        <f ca="1">C28</f>
        <v>4265446</v>
      </c>
      <c r="D27" s="227">
        <f ca="1">C29</f>
        <v>4.4999999999999997E-3</v>
      </c>
      <c r="E27" s="228" t="s">
        <v>1508</v>
      </c>
      <c r="F27" s="238">
        <f ca="1">IF(B1="",'数据-取费表'!Q16,INDIRECT("'数据-取费表'!q"&amp;$G$1))</f>
        <v>0.15</v>
      </c>
      <c r="G27" s="239" t="s">
        <v>1509</v>
      </c>
    </row>
    <row r="28" spans="1:7" s="206" customFormat="1" ht="13.5" customHeight="1">
      <c r="A28" s="734" t="s">
        <v>346</v>
      </c>
      <c r="B28" s="240" t="s">
        <v>1510</v>
      </c>
      <c r="C28" s="241">
        <f ca="1">ROUND((C5+C19+C20)*F27,0)</f>
        <v>4265446</v>
      </c>
      <c r="D28" s="227"/>
      <c r="E28" s="228"/>
      <c r="F28" s="238"/>
      <c r="G28" s="239"/>
    </row>
    <row r="29" spans="1:7" s="206" customFormat="1" ht="13.5" customHeight="1">
      <c r="A29" s="734" t="s">
        <v>347</v>
      </c>
      <c r="B29" s="240" t="s">
        <v>1511</v>
      </c>
      <c r="C29" s="230">
        <f ca="1">ROUND(C21*F27,4)</f>
        <v>4.4999999999999997E-3</v>
      </c>
      <c r="D29" s="227"/>
      <c r="E29" s="228"/>
      <c r="F29" s="238"/>
      <c r="G29" s="239"/>
    </row>
    <row r="30" spans="1:7" s="206" customFormat="1" ht="13.5" customHeight="1">
      <c r="A30" s="247" t="s">
        <v>1512</v>
      </c>
      <c r="B30" s="202" t="s">
        <v>1513</v>
      </c>
      <c r="C30" s="227">
        <f>ROUND(F30/(1+'数据-取费表'!C42),4)</f>
        <v>5.33E-2</v>
      </c>
      <c r="D30" s="228" t="s">
        <v>1508</v>
      </c>
      <c r="E30" s="233"/>
      <c r="F30" s="229">
        <f>'数据-取费表'!B41</f>
        <v>5.6000000000000001E-2</v>
      </c>
      <c r="G30" s="226" t="s">
        <v>1514</v>
      </c>
    </row>
    <row r="31" spans="1:7" ht="16.5" customHeight="1">
      <c r="A31" s="201">
        <v>1</v>
      </c>
      <c r="B31" s="202" t="s">
        <v>1515</v>
      </c>
      <c r="C31" s="203">
        <f ca="1">ROUND((C5+C19+C20+C22+C27)/(1-C21-D22-D27-C30),0)</f>
        <v>38046688</v>
      </c>
      <c r="D31" s="222"/>
      <c r="E31" s="203"/>
      <c r="F31" s="242"/>
      <c r="G31" s="226" t="s">
        <v>1516</v>
      </c>
    </row>
    <row r="32" spans="1:7" s="200" customFormat="1" ht="15.75">
      <c r="A32" s="244" t="s">
        <v>1583</v>
      </c>
      <c r="B32" s="245"/>
      <c r="C32" s="245"/>
      <c r="D32" s="245"/>
      <c r="E32" s="245"/>
      <c r="F32" s="245"/>
      <c r="G32" s="246"/>
    </row>
    <row r="33" spans="1:7" s="206" customFormat="1" ht="13.5" customHeight="1">
      <c r="A33" s="247" t="s">
        <v>337</v>
      </c>
      <c r="B33" s="202" t="s">
        <v>1584</v>
      </c>
      <c r="C33" s="248">
        <f ca="1">SUM(C34:C38)</f>
        <v>392044530</v>
      </c>
      <c r="D33" s="224"/>
      <c r="E33" s="204"/>
      <c r="F33" s="233"/>
      <c r="G33" s="226"/>
    </row>
    <row r="34" spans="1:7" s="250" customFormat="1" ht="13.5" customHeight="1">
      <c r="A34" s="734" t="s">
        <v>346</v>
      </c>
      <c r="B34" s="207" t="s">
        <v>1519</v>
      </c>
      <c r="C34" s="212">
        <f ca="1">ROUND(IF(B1="",SUMPRODUCT('数据-取费表'!K6:K14,'数据-取费表'!L6:L14),INDIRECT("'数据-取费表'!l"&amp;$G$1)*INDIRECT("'数据-取费表'!k"&amp;$G$1)+'数据-取费表'!L14*INDIRECT("'数据-取费表'!S"&amp;$G$1)),0)</f>
        <v>327548448</v>
      </c>
      <c r="D34" s="209"/>
      <c r="E34" s="212"/>
      <c r="F34" s="249"/>
      <c r="G34" s="211"/>
    </row>
    <row r="35" spans="1:7" ht="13.5" customHeight="1">
      <c r="A35" s="734" t="s">
        <v>351</v>
      </c>
      <c r="B35" s="207" t="s">
        <v>1521</v>
      </c>
      <c r="C35" s="212">
        <f ca="1">ROUND(C34*F35,0)</f>
        <v>9826453</v>
      </c>
      <c r="D35" s="212"/>
      <c r="E35" s="212"/>
      <c r="F35" s="251">
        <f>'数据-取费表'!B33</f>
        <v>0.03</v>
      </c>
      <c r="G35" s="211" t="s">
        <v>1522</v>
      </c>
    </row>
    <row r="36" spans="1:7" ht="24">
      <c r="A36" s="734" t="s">
        <v>352</v>
      </c>
      <c r="B36" s="207" t="s">
        <v>1523</v>
      </c>
      <c r="C36" s="212">
        <f ca="1">ROUND(IF(B1="",SUM('数据-取费表'!AP6:AP13)*F36,IF(INDIRECT("'数据-取费表'!c"&amp;$G$1)="住宅",INDIRECT("'数据-取费表'!k"&amp;$G$1)*INDIRECT("'数据-取费表'!l"&amp;$G$1)*F36,0)),0)</f>
        <v>32517010</v>
      </c>
      <c r="D36" s="212"/>
      <c r="E36" s="212"/>
      <c r="F36" s="251">
        <f>'数据-取费表'!B34</f>
        <v>0.1</v>
      </c>
      <c r="G36" s="252" t="s">
        <v>1524</v>
      </c>
    </row>
    <row r="37" spans="1:7" s="250" customFormat="1" ht="13.5" customHeight="1">
      <c r="A37" s="734" t="s">
        <v>353</v>
      </c>
      <c r="B37" s="207" t="s">
        <v>1525</v>
      </c>
      <c r="C37" s="241">
        <f ca="1">ROUND(E37*D37,0)</f>
        <v>17239392</v>
      </c>
      <c r="D37" s="209">
        <f ca="1">D19</f>
        <v>86196.960000000021</v>
      </c>
      <c r="E37" s="241">
        <f>'数据-取费表'!B35</f>
        <v>200</v>
      </c>
      <c r="F37" s="251"/>
      <c r="G37" s="253"/>
    </row>
    <row r="38" spans="1:7" ht="13.5" customHeight="1">
      <c r="A38" s="734" t="s">
        <v>354</v>
      </c>
      <c r="B38" s="207" t="s">
        <v>1527</v>
      </c>
      <c r="C38" s="212">
        <f ca="1">ROUND(C34*F38,0)</f>
        <v>4913227</v>
      </c>
      <c r="D38" s="212"/>
      <c r="E38" s="212"/>
      <c r="F38" s="251">
        <f>'数据-取费表'!B36</f>
        <v>1.4999999999999999E-2</v>
      </c>
      <c r="G38" s="211" t="s">
        <v>1522</v>
      </c>
    </row>
    <row r="39" spans="1:7" s="206" customFormat="1" ht="13.5" customHeight="1">
      <c r="A39" s="247" t="s">
        <v>1528</v>
      </c>
      <c r="B39" s="202" t="s">
        <v>1529</v>
      </c>
      <c r="C39" s="224">
        <f ca="1">ROUND(C33*F20,0)</f>
        <v>11761336</v>
      </c>
      <c r="D39" s="224"/>
      <c r="E39" s="224"/>
      <c r="F39" s="225">
        <f>F20</f>
        <v>0.03</v>
      </c>
      <c r="G39" s="226" t="s">
        <v>1530</v>
      </c>
    </row>
    <row r="40" spans="1:7" s="206" customFormat="1" ht="13.5" customHeight="1">
      <c r="A40" s="247" t="s">
        <v>1531</v>
      </c>
      <c r="B40" s="202" t="s">
        <v>1532</v>
      </c>
      <c r="C40" s="227">
        <f>F21</f>
        <v>0.03</v>
      </c>
      <c r="D40" s="228" t="s">
        <v>1533</v>
      </c>
      <c r="E40" s="224"/>
      <c r="F40" s="225">
        <f>F21</f>
        <v>0.03</v>
      </c>
      <c r="G40" s="226" t="s">
        <v>1534</v>
      </c>
    </row>
    <row r="41" spans="1:7" s="206" customFormat="1" ht="13.5" customHeight="1">
      <c r="A41" s="247" t="s">
        <v>1535</v>
      </c>
      <c r="B41" s="202" t="s">
        <v>1536</v>
      </c>
      <c r="C41" s="224">
        <f ca="1">ROUND(SUM(C42:C43),0)</f>
        <v>13931302</v>
      </c>
      <c r="D41" s="227">
        <f ca="1">C44</f>
        <v>1E-3</v>
      </c>
      <c r="E41" s="228" t="s">
        <v>1533</v>
      </c>
      <c r="F41" s="229">
        <f ca="1">F22</f>
        <v>3.4500000000000003E-2</v>
      </c>
      <c r="G41" s="226" t="str">
        <f>IF('数据-取费表'!B22&lt;=1,"单利计息","复利计息")</f>
        <v>复利计息</v>
      </c>
    </row>
    <row r="42" spans="1:7" ht="13.5" customHeight="1">
      <c r="A42" s="734" t="s">
        <v>346</v>
      </c>
      <c r="B42" s="207" t="s">
        <v>1537</v>
      </c>
      <c r="C42" s="230">
        <f ca="1">ROUND(IF('数据-取费表'!B22&lt;=1,C33*F22*'数据-取费表'!B20/2,C33*(POWER((1+F22),'数据-取费表'!B20/2)-1)),0)</f>
        <v>13525536</v>
      </c>
      <c r="D42" s="230"/>
      <c r="E42" s="230"/>
      <c r="F42" s="231"/>
      <c r="G42" s="3504" t="s">
        <v>1585</v>
      </c>
    </row>
    <row r="43" spans="1:7" ht="13.5" customHeight="1">
      <c r="A43" s="734" t="s">
        <v>347</v>
      </c>
      <c r="B43" s="207" t="s">
        <v>1539</v>
      </c>
      <c r="C43" s="230">
        <f ca="1">ROUND(IF('数据-取费表'!B22&lt;=1,C39*F22*'数据-取费表'!B20/2,C39*(POWER((1+F22),'数据-取费表'!B20/2)-1)),0)</f>
        <v>405766</v>
      </c>
      <c r="D43" s="230"/>
      <c r="E43" s="230"/>
      <c r="F43" s="231"/>
      <c r="G43" s="3505"/>
    </row>
    <row r="44" spans="1:7" ht="13.5" customHeight="1">
      <c r="A44" s="734" t="s">
        <v>348</v>
      </c>
      <c r="B44" s="207" t="s">
        <v>1540</v>
      </c>
      <c r="C44" s="230">
        <f ca="1">ROUND(IF('数据-取费表'!B22&lt;=1,C40*F22*'数据-取费表'!B20/2,C40*(POWER((1+F22),'数据-取费表'!B20/2)-1)),4)</f>
        <v>1E-3</v>
      </c>
      <c r="D44" s="230"/>
      <c r="E44" s="230"/>
      <c r="F44" s="231"/>
      <c r="G44" s="3506"/>
    </row>
    <row r="45" spans="1:7" s="206" customFormat="1" ht="13.5" customHeight="1">
      <c r="A45" s="247" t="s">
        <v>1541</v>
      </c>
      <c r="B45" s="236" t="s">
        <v>1507</v>
      </c>
      <c r="C45" s="237">
        <f ca="1">C46</f>
        <v>60570880</v>
      </c>
      <c r="D45" s="227">
        <f ca="1">C47</f>
        <v>4.4999999999999997E-3</v>
      </c>
      <c r="E45" s="228" t="s">
        <v>1533</v>
      </c>
      <c r="F45" s="238">
        <f ca="1">F27</f>
        <v>0.15</v>
      </c>
      <c r="G45" s="239" t="s">
        <v>1542</v>
      </c>
    </row>
    <row r="46" spans="1:7" s="206" customFormat="1" ht="13.5" customHeight="1">
      <c r="A46" s="734" t="s">
        <v>346</v>
      </c>
      <c r="B46" s="240" t="s">
        <v>1543</v>
      </c>
      <c r="C46" s="241">
        <f ca="1">ROUND((C33+C39)*F27,0)</f>
        <v>60570880</v>
      </c>
      <c r="D46" s="255"/>
      <c r="E46" s="228"/>
      <c r="F46" s="238"/>
      <c r="G46" s="239"/>
    </row>
    <row r="47" spans="1:7" s="206" customFormat="1" ht="13.5" customHeight="1">
      <c r="A47" s="734" t="s">
        <v>347</v>
      </c>
      <c r="B47" s="240" t="s">
        <v>1544</v>
      </c>
      <c r="C47" s="230">
        <f ca="1">ROUND(C40*F27,4)</f>
        <v>4.4999999999999997E-3</v>
      </c>
      <c r="D47" s="255"/>
      <c r="E47" s="228"/>
      <c r="F47" s="238"/>
      <c r="G47" s="239"/>
    </row>
    <row r="48" spans="1:7" s="206" customFormat="1" ht="13.5" customHeight="1">
      <c r="A48" s="247" t="s">
        <v>1506</v>
      </c>
      <c r="B48" s="202" t="s">
        <v>1545</v>
      </c>
      <c r="C48" s="254">
        <f>ROUND(F30/(1+'数据-取费表'!C42),4)</f>
        <v>5.33E-2</v>
      </c>
      <c r="D48" s="228" t="s">
        <v>1533</v>
      </c>
      <c r="E48" s="224"/>
      <c r="F48" s="229">
        <f>F30</f>
        <v>5.6000000000000001E-2</v>
      </c>
      <c r="G48" s="226" t="s">
        <v>1546</v>
      </c>
    </row>
    <row r="49" spans="1:7" ht="16.5" customHeight="1">
      <c r="A49" s="247" t="s">
        <v>1512</v>
      </c>
      <c r="B49" s="202" t="s">
        <v>1586</v>
      </c>
      <c r="C49" s="224">
        <f ca="1">ROUND((C33+C39+C41+C45)/(1-C40-D41-D45-C48),0)</f>
        <v>524921036</v>
      </c>
      <c r="D49" s="224"/>
      <c r="E49" s="224"/>
      <c r="F49" s="256"/>
      <c r="G49" s="226" t="s">
        <v>1548</v>
      </c>
    </row>
    <row r="50" spans="1:7" s="250" customFormat="1">
      <c r="A50" s="247" t="s">
        <v>1549</v>
      </c>
      <c r="B50" s="202" t="s">
        <v>1550</v>
      </c>
      <c r="C50" s="224"/>
      <c r="D50" s="224"/>
      <c r="E50" s="224"/>
      <c r="F50" s="256">
        <f>IF('数据-取费表'!B24=0,'数据-取费表'!N16,1)</f>
        <v>1</v>
      </c>
      <c r="G50" s="239"/>
    </row>
    <row r="51" spans="1:7" ht="16.5" customHeight="1">
      <c r="A51" s="247" t="s">
        <v>1552</v>
      </c>
      <c r="B51" s="202" t="s">
        <v>1587</v>
      </c>
      <c r="C51" s="224">
        <f ca="1">ROUND(C49*F50,0)</f>
        <v>524921036</v>
      </c>
      <c r="D51" s="224"/>
      <c r="E51" s="224"/>
      <c r="F51" s="256"/>
      <c r="G51" s="226" t="s">
        <v>1554</v>
      </c>
    </row>
    <row r="52" spans="1:7" s="200" customFormat="1" ht="16.5" thickBot="1">
      <c r="A52" s="257" t="s">
        <v>1555</v>
      </c>
      <c r="B52" s="258"/>
      <c r="C52" s="259">
        <f ca="1">C31+C51</f>
        <v>562967724</v>
      </c>
      <c r="D52" s="258"/>
      <c r="E52" s="258"/>
      <c r="F52" s="258"/>
      <c r="G52" s="260"/>
    </row>
    <row r="55" spans="1:7" ht="15">
      <c r="B55" s="262" t="s">
        <v>1556</v>
      </c>
      <c r="C55" s="263"/>
    </row>
    <row r="56" spans="1:7">
      <c r="B56" s="265" t="s">
        <v>796</v>
      </c>
      <c r="C56" s="267">
        <f ca="1">1-C57</f>
        <v>6.7999999999999949E-2</v>
      </c>
    </row>
    <row r="57" spans="1:7">
      <c r="B57" s="265" t="s">
        <v>797</v>
      </c>
      <c r="C57" s="266">
        <f ca="1">ROUND(C51/C52,3)</f>
        <v>0.93200000000000005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1588</v>
      </c>
      <c r="B1" s="121"/>
      <c r="C1" s="1109"/>
      <c r="D1" s="1108"/>
      <c r="E1" s="2562"/>
      <c r="F1" s="2562"/>
      <c r="G1" s="2443"/>
      <c r="H1" s="2562"/>
      <c r="I1" s="2562"/>
      <c r="J1" s="2562"/>
      <c r="K1" s="2563">
        <f>MATCH(C1,'数据-取费表'!A6:A16,0)+5</f>
        <v>8</v>
      </c>
    </row>
    <row r="2" spans="1:33" ht="18" customHeight="1">
      <c r="A2" s="193" t="s">
        <v>1456</v>
      </c>
      <c r="B2" s="196">
        <f ca="1">C32</f>
        <v>-12</v>
      </c>
      <c r="C2" s="268" t="s">
        <v>1589</v>
      </c>
      <c r="D2" s="268"/>
      <c r="E2" s="2562"/>
      <c r="F2" s="2562"/>
      <c r="G2" s="2562"/>
      <c r="H2" s="2562"/>
      <c r="I2" s="2562"/>
      <c r="J2" s="2562"/>
      <c r="K2" s="2562"/>
    </row>
    <row r="3" spans="1:33" ht="18" customHeight="1" thickBot="1">
      <c r="A3" s="195" t="s">
        <v>1458</v>
      </c>
      <c r="B3" s="196">
        <f ca="1">ROUND(B2*10000/IF(C1="",'数据-汇总表'!E3,INDIRECT("'数据-取费表'!K"&amp;$K$1)),0)</f>
        <v>-1</v>
      </c>
      <c r="C3" s="268" t="s">
        <v>1590</v>
      </c>
      <c r="D3" s="268"/>
      <c r="E3" s="2562"/>
      <c r="F3" s="2562"/>
      <c r="G3" s="2562"/>
      <c r="H3" s="2562"/>
      <c r="I3" s="2562"/>
      <c r="J3" s="2562"/>
      <c r="K3" s="2562"/>
    </row>
    <row r="4" spans="1:33" s="739" customFormat="1" ht="16.5" customHeight="1">
      <c r="A4" s="736" t="s">
        <v>1591</v>
      </c>
      <c r="B4" s="737"/>
      <c r="C4" s="775">
        <f>SUM(C8:K8)</f>
        <v>0</v>
      </c>
      <c r="D4" s="737"/>
      <c r="E4" s="737"/>
      <c r="F4" s="737"/>
      <c r="G4" s="737"/>
      <c r="H4" s="737"/>
      <c r="I4" s="737"/>
      <c r="J4" s="737"/>
      <c r="K4" s="738"/>
    </row>
    <row r="5" spans="1:33" s="743" customFormat="1" ht="15">
      <c r="A5" s="740" t="s">
        <v>1592</v>
      </c>
      <c r="B5" s="741" t="s">
        <v>1593</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1595</v>
      </c>
      <c r="B7" s="123" t="s">
        <v>1596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1597</v>
      </c>
      <c r="B8" s="156" t="s">
        <v>1598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1599</v>
      </c>
      <c r="B9" s="737"/>
      <c r="C9" s="737"/>
      <c r="D9" s="737"/>
      <c r="E9" s="737"/>
      <c r="F9" s="737"/>
      <c r="G9" s="737"/>
      <c r="H9" s="737"/>
      <c r="I9" s="737"/>
      <c r="J9" s="737"/>
      <c r="K9" s="738"/>
    </row>
    <row r="10" spans="1:33" s="751" customFormat="1" ht="13.5" customHeight="1">
      <c r="A10" s="740" t="s">
        <v>1600</v>
      </c>
      <c r="B10" s="5" t="s">
        <v>1601</v>
      </c>
      <c r="C10" s="747" t="s">
        <v>1602</v>
      </c>
      <c r="D10" s="748" t="s">
        <v>1603</v>
      </c>
      <c r="E10" s="748" t="s">
        <v>1604</v>
      </c>
      <c r="F10" s="748" t="s">
        <v>1605</v>
      </c>
      <c r="G10" s="5"/>
      <c r="H10" s="749"/>
      <c r="I10" s="749"/>
      <c r="J10" s="749"/>
      <c r="K10" s="750"/>
    </row>
    <row r="11" spans="1:33" s="755" customFormat="1" ht="13.5" customHeight="1">
      <c r="A11" s="752" t="s">
        <v>635</v>
      </c>
      <c r="B11" s="753" t="s">
        <v>1606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1607</v>
      </c>
      <c r="C12" s="21">
        <f ca="1">ROUND(C11*F12,0)</f>
        <v>0</v>
      </c>
      <c r="D12" s="754"/>
      <c r="E12" s="138"/>
      <c r="F12" s="764">
        <f>'数据-取费表'!B33</f>
        <v>0.03</v>
      </c>
      <c r="G12" s="5" t="s">
        <v>1608</v>
      </c>
      <c r="H12" s="749"/>
      <c r="I12" s="749"/>
      <c r="J12" s="749"/>
      <c r="K12" s="750"/>
    </row>
    <row r="13" spans="1:33" s="755" customFormat="1" ht="13.5" customHeight="1">
      <c r="A13" s="752" t="s">
        <v>637</v>
      </c>
      <c r="B13" s="753" t="s">
        <v>1609</v>
      </c>
      <c r="C13" s="21">
        <f ca="1">ROUND(IF(C1="",SUMIF('数据-取费表'!C:C,"住宅",'数据-取费表'!P:P)*F13,IF(INDIRECT("'数据-取费表'!c"&amp;$K$1)="住宅",INDIRECT("'数据-取费表'!P"&amp;$K$1)*F13,0)),0)</f>
        <v>0</v>
      </c>
      <c r="D13" s="796"/>
      <c r="E13" s="138"/>
      <c r="F13" s="764">
        <f>'数据-取费表'!B34</f>
        <v>0.1</v>
      </c>
      <c r="G13" s="5" t="s">
        <v>1610</v>
      </c>
      <c r="H13" s="749"/>
      <c r="I13" s="749"/>
      <c r="J13" s="749"/>
      <c r="K13" s="750"/>
    </row>
    <row r="14" spans="1:33" s="757" customFormat="1" ht="13.5" customHeight="1">
      <c r="A14" s="752" t="s">
        <v>638</v>
      </c>
      <c r="B14" s="753" t="s">
        <v>1611</v>
      </c>
      <c r="C14" s="21">
        <f ca="1">ROUND(D14*E14*F11/10000,0)</f>
        <v>0</v>
      </c>
      <c r="D14" s="796">
        <f ca="1">IF(C1="",'数据-汇总表'!E3,INDIRECT("'数据-取费表'!K"&amp;$K$1)+INDIRECT("'数据-取费表'!S"&amp;$K$1))</f>
        <v>86196.960000000021</v>
      </c>
      <c r="E14" s="21">
        <f>'数据-取费表'!B35</f>
        <v>200</v>
      </c>
      <c r="F14" s="756"/>
      <c r="G14" s="5" t="s">
        <v>1612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1613</v>
      </c>
      <c r="C15" s="763">
        <f ca="1">ROUND(C11*F15,0)</f>
        <v>0</v>
      </c>
      <c r="D15" s="758"/>
      <c r="E15" s="763"/>
      <c r="F15" s="764">
        <f>'数据-取费表'!B36</f>
        <v>1.4999999999999999E-2</v>
      </c>
      <c r="G15" s="123" t="s">
        <v>1614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1615</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1616</v>
      </c>
      <c r="C17" s="21">
        <f ca="1">ROUND(D17*E17/10000,0)</f>
        <v>0</v>
      </c>
      <c r="D17" s="796">
        <f ca="1">D14</f>
        <v>86196.960000000021</v>
      </c>
      <c r="E17" s="21">
        <f>'数据-取费表'!B32</f>
        <v>0</v>
      </c>
      <c r="F17" s="758"/>
      <c r="G17" s="123" t="s">
        <v>1617</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1618</v>
      </c>
      <c r="C18" s="21">
        <f ca="1">C19+C20-IF(C1="",'数据-取费表'!B29,IF(G18="已全部缴纳",C19+C20,H18))</f>
        <v>10</v>
      </c>
      <c r="D18" s="796"/>
      <c r="E18" s="21"/>
      <c r="F18" s="756"/>
      <c r="G18" s="1719"/>
      <c r="H18" s="1105"/>
      <c r="I18" s="1720" t="s">
        <v>1619</v>
      </c>
      <c r="J18" s="759"/>
      <c r="K18" s="760"/>
    </row>
    <row r="19" spans="1:33" s="755" customFormat="1" ht="13.5" customHeight="1">
      <c r="A19" s="752" t="s">
        <v>360</v>
      </c>
      <c r="B19" s="753" t="s">
        <v>1620</v>
      </c>
      <c r="C19" s="21">
        <f ca="1">ROUND(D19*E19/10000,0)</f>
        <v>1027</v>
      </c>
      <c r="D19" s="796">
        <f ca="1">IF(C1="",'数据-汇总表'!E5,IF(INDIRECT("'数据-取费表'!c"&amp;$K$1)="住宅",INDIRECT("'数据-取费表'!k"&amp;$K$1),0))</f>
        <v>85571.080000000016</v>
      </c>
      <c r="E19" s="21">
        <f>'数据-取费表'!B27</f>
        <v>120</v>
      </c>
      <c r="F19" s="756"/>
      <c r="G19" s="12"/>
      <c r="H19" s="1107"/>
      <c r="I19" s="761"/>
      <c r="J19" s="761"/>
      <c r="K19" s="762"/>
    </row>
    <row r="20" spans="1:33" s="755" customFormat="1" ht="13.5" customHeight="1">
      <c r="A20" s="752" t="s">
        <v>361</v>
      </c>
      <c r="B20" s="753" t="s">
        <v>1621</v>
      </c>
      <c r="C20" s="21">
        <f ca="1">ROUND(D20*E20/10000,0)</f>
        <v>10</v>
      </c>
      <c r="D20" s="796">
        <f ca="1">IF(C1="",'数据-汇总表'!E6,IF(INDIRECT("'数据-取费表'!c"&amp;$K$1)="住宅",INDIRECT("'数据-取费表'!s"&amp;$K$1),INDIRECT("'数据-取费表'!k"&amp;$K$1)+INDIRECT("'数据-取费表'!s"&amp;$K$1)))</f>
        <v>625.88000000000466</v>
      </c>
      <c r="E20" s="21">
        <f>'数据-取费表'!B28</f>
        <v>160</v>
      </c>
      <c r="F20" s="756"/>
      <c r="G20" s="12"/>
      <c r="H20" s="761"/>
      <c r="I20" s="761"/>
      <c r="J20" s="761"/>
      <c r="K20" s="762"/>
    </row>
    <row r="21" spans="1:33" s="755" customFormat="1" ht="13.5" customHeight="1">
      <c r="A21" s="744" t="s">
        <v>357</v>
      </c>
      <c r="B21" s="765" t="s">
        <v>1622</v>
      </c>
      <c r="C21" s="766">
        <f ca="1">C16+C17+C18</f>
        <v>10</v>
      </c>
      <c r="D21" s="767"/>
      <c r="E21" s="273"/>
      <c r="F21" s="273"/>
      <c r="G21" s="123" t="s">
        <v>1623</v>
      </c>
      <c r="H21" s="759"/>
      <c r="I21" s="759"/>
      <c r="J21" s="759"/>
      <c r="K21" s="760"/>
    </row>
    <row r="22" spans="1:33" s="755" customFormat="1" ht="13.5" customHeight="1">
      <c r="A22" s="744" t="s">
        <v>1595</v>
      </c>
      <c r="B22" s="765" t="s">
        <v>1624</v>
      </c>
      <c r="C22" s="766">
        <f ca="1">ROUND(C21*F22,0)</f>
        <v>0</v>
      </c>
      <c r="D22" s="273"/>
      <c r="E22" s="273"/>
      <c r="F22" s="768">
        <f>'数据-取费表'!B37</f>
        <v>0.03</v>
      </c>
      <c r="G22" s="5" t="s">
        <v>1625</v>
      </c>
      <c r="H22" s="749"/>
      <c r="I22" s="749"/>
      <c r="J22" s="749"/>
      <c r="K22" s="750"/>
    </row>
    <row r="23" spans="1:33" s="755" customFormat="1" ht="13.5" customHeight="1">
      <c r="A23" s="744" t="s">
        <v>1597</v>
      </c>
      <c r="B23" s="765" t="s">
        <v>1626</v>
      </c>
      <c r="C23" s="766">
        <f ca="1">ROUND(C4*F23*F11,0)</f>
        <v>0</v>
      </c>
      <c r="D23" s="273"/>
      <c r="E23" s="273"/>
      <c r="F23" s="768">
        <f>'数据-取费表'!B38</f>
        <v>0.03</v>
      </c>
      <c r="G23" s="5" t="s">
        <v>1627</v>
      </c>
      <c r="H23" s="749"/>
      <c r="I23" s="749"/>
      <c r="J23" s="749"/>
      <c r="K23" s="750"/>
    </row>
    <row r="24" spans="1:33" s="755" customFormat="1" ht="13.5" customHeight="1">
      <c r="A24" s="744" t="s">
        <v>1628</v>
      </c>
      <c r="B24" s="765" t="s">
        <v>1629</v>
      </c>
      <c r="C24" s="272">
        <f>ROUND(F24/(1+'数据-取费表'!C42),4)</f>
        <v>3.8600000000000002E-2</v>
      </c>
      <c r="D24" s="273" t="s">
        <v>12</v>
      </c>
      <c r="E24" s="273"/>
      <c r="F24" s="768">
        <f>IF(项目基本情况!B8="出让",0,'数据-取费表'!B48+'数据-取费表'!B49)</f>
        <v>4.0500000000000001E-2</v>
      </c>
      <c r="G24" s="5" t="s">
        <v>1630</v>
      </c>
      <c r="H24" s="770"/>
      <c r="I24" s="770"/>
      <c r="J24" s="770"/>
      <c r="K24" s="55"/>
    </row>
    <row r="25" spans="1:33" s="755" customFormat="1" ht="13.5" customHeight="1">
      <c r="A25" s="744" t="s">
        <v>1631</v>
      </c>
      <c r="B25" s="767" t="s">
        <v>1632</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1633</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1634</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1635</v>
      </c>
      <c r="B28" s="1722" t="s">
        <v>1636</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1637</v>
      </c>
      <c r="C29" s="276">
        <f ca="1">ROUND((1+C24)*F28*'数据-取费表'!B24/'数据-取费表'!B20,4)</f>
        <v>0</v>
      </c>
      <c r="D29" s="276"/>
      <c r="E29" s="277"/>
      <c r="F29" s="282"/>
      <c r="G29" s="123" t="s">
        <v>1638</v>
      </c>
      <c r="H29" s="759"/>
      <c r="I29" s="759"/>
      <c r="J29" s="759"/>
      <c r="K29" s="760"/>
    </row>
    <row r="30" spans="1:33" s="283" customFormat="1" ht="13.5" customHeight="1">
      <c r="A30" s="752" t="s">
        <v>359</v>
      </c>
      <c r="B30" s="773" t="s">
        <v>1639</v>
      </c>
      <c r="C30" s="284">
        <f ca="1">ROUND((C21+C22+C23)*F28,0)</f>
        <v>2</v>
      </c>
      <c r="D30" s="276"/>
      <c r="E30" s="277"/>
      <c r="F30" s="282"/>
      <c r="G30" s="123"/>
      <c r="H30" s="759"/>
      <c r="I30" s="759"/>
      <c r="J30" s="759"/>
      <c r="K30" s="760"/>
    </row>
    <row r="31" spans="1:33" s="755" customFormat="1" ht="13.5" customHeight="1" thickBot="1">
      <c r="A31" s="1723" t="s">
        <v>1640</v>
      </c>
      <c r="B31" s="783" t="s">
        <v>1641</v>
      </c>
      <c r="C31" s="784">
        <f>ROUND(C4*F31/(1+'数据-取费表'!C42),0)</f>
        <v>0</v>
      </c>
      <c r="D31" s="785"/>
      <c r="E31" s="786"/>
      <c r="F31" s="787">
        <f>'数据-取费表'!B41</f>
        <v>5.6000000000000001E-2</v>
      </c>
      <c r="G31" s="788" t="s">
        <v>1642</v>
      </c>
      <c r="H31" s="789"/>
      <c r="I31" s="789"/>
      <c r="J31" s="789"/>
      <c r="K31" s="790"/>
    </row>
    <row r="32" spans="1:33" s="751" customFormat="1" ht="13.5" customHeight="1" thickBot="1">
      <c r="A32" s="449" t="s">
        <v>1643</v>
      </c>
      <c r="B32" s="779"/>
      <c r="C32" s="780">
        <f ca="1">ROUND((C4-C21-C22-C23-C25-C28-C31)/(1+C24+D25+D28),0)</f>
        <v>-12</v>
      </c>
      <c r="D32" s="779"/>
      <c r="E32" s="779"/>
      <c r="F32" s="779"/>
      <c r="G32" s="781" t="s">
        <v>1644</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topLeftCell="A74" workbookViewId="0">
      <selection activeCell="A68" sqref="A68"/>
    </sheetView>
  </sheetViews>
  <sheetFormatPr defaultRowHeight="12"/>
  <cols>
    <col min="1" max="1" width="20" style="2853" customWidth="1"/>
    <col min="2" max="2" width="20" style="2853" hidden="1" customWidth="1"/>
    <col min="3" max="3" width="10" style="2853" customWidth="1"/>
    <col min="4" max="7" width="20" style="2853" hidden="1" customWidth="1"/>
    <col min="8" max="8" width="5.25" style="2853" customWidth="1"/>
    <col min="9" max="9" width="11.625" style="2853" customWidth="1"/>
    <col min="10" max="10" width="9" style="2853" customWidth="1"/>
    <col min="11" max="11" width="27.125" style="2853" customWidth="1"/>
    <col min="12" max="12" width="6.75" style="2853" hidden="1" customWidth="1"/>
    <col min="13" max="13" width="7.5" style="2853" customWidth="1"/>
    <col min="14" max="16" width="20" style="2853" hidden="1" customWidth="1"/>
    <col min="17" max="17" width="10.375" style="2853" customWidth="1"/>
    <col min="18" max="18" width="20" style="2853" hidden="1" customWidth="1"/>
    <col min="19" max="19" width="10.625" style="2853" customWidth="1"/>
    <col min="20" max="20" width="7.875" style="2853" customWidth="1"/>
    <col min="21" max="21" width="9.75" style="2853" customWidth="1"/>
    <col min="22" max="22" width="11.125" style="2853" customWidth="1"/>
    <col min="23" max="23" width="10.25" style="2853" customWidth="1"/>
    <col min="24" max="24" width="11.125" style="3170" customWidth="1"/>
    <col min="25" max="25" width="20" style="2853" hidden="1" customWidth="1"/>
    <col min="26" max="26" width="10.125" style="2853" customWidth="1"/>
    <col min="27" max="27" width="9" style="2853" customWidth="1"/>
    <col min="28" max="31" width="20" style="2853" hidden="1" customWidth="1"/>
    <col min="32" max="32" width="9.25" style="2853" customWidth="1"/>
    <col min="33" max="33" width="7.125" style="2853" customWidth="1"/>
    <col min="34" max="34" width="6.75" style="2853" customWidth="1"/>
    <col min="35" max="35" width="20" style="2853" customWidth="1"/>
    <col min="36" max="16384" width="9" style="2853"/>
  </cols>
  <sheetData>
    <row r="1" spans="1:34" s="3167" customFormat="1" ht="24">
      <c r="A1" s="3165" t="s">
        <v>3822</v>
      </c>
      <c r="B1" s="3165" t="s">
        <v>3823</v>
      </c>
      <c r="C1" s="3165" t="s">
        <v>3824</v>
      </c>
      <c r="D1" s="3165" t="s">
        <v>3825</v>
      </c>
      <c r="E1" s="3165" t="s">
        <v>3826</v>
      </c>
      <c r="F1" s="3165" t="s">
        <v>3827</v>
      </c>
      <c r="G1" s="3165" t="s">
        <v>3828</v>
      </c>
      <c r="H1" s="3165" t="s">
        <v>3829</v>
      </c>
      <c r="I1" s="3165" t="s">
        <v>3830</v>
      </c>
      <c r="J1" s="3165" t="s">
        <v>3831</v>
      </c>
      <c r="K1" s="3165" t="s">
        <v>3832</v>
      </c>
      <c r="L1" s="3165" t="s">
        <v>3833</v>
      </c>
      <c r="M1" s="3165" t="s">
        <v>3834</v>
      </c>
      <c r="N1" s="3165" t="s">
        <v>3835</v>
      </c>
      <c r="O1" s="3165" t="s">
        <v>3836</v>
      </c>
      <c r="P1" s="3165" t="s">
        <v>3837</v>
      </c>
      <c r="Q1" s="3165" t="s">
        <v>3838</v>
      </c>
      <c r="R1" s="3165" t="s">
        <v>3839</v>
      </c>
      <c r="S1" s="3165" t="s">
        <v>3840</v>
      </c>
      <c r="T1" s="3165" t="s">
        <v>3841</v>
      </c>
      <c r="U1" s="3165" t="s">
        <v>3842</v>
      </c>
      <c r="V1" s="3165" t="s">
        <v>3843</v>
      </c>
      <c r="W1" s="3165" t="s">
        <v>3844</v>
      </c>
      <c r="X1" s="3166" t="s">
        <v>3845</v>
      </c>
      <c r="Y1" s="3165" t="s">
        <v>3846</v>
      </c>
      <c r="Z1" s="3165" t="s">
        <v>3847</v>
      </c>
      <c r="AA1" s="3165" t="s">
        <v>3848</v>
      </c>
      <c r="AB1" s="3165" t="s">
        <v>3849</v>
      </c>
      <c r="AC1" s="3165" t="s">
        <v>3850</v>
      </c>
      <c r="AD1" s="3165" t="s">
        <v>3851</v>
      </c>
      <c r="AE1" s="3165" t="s">
        <v>3852</v>
      </c>
      <c r="AF1" s="3165" t="s">
        <v>3853</v>
      </c>
      <c r="AG1" s="3165" t="s">
        <v>3854</v>
      </c>
      <c r="AH1" s="3165" t="s">
        <v>3855</v>
      </c>
    </row>
    <row r="2" spans="1:34" hidden="1">
      <c r="A2" s="3168" t="s">
        <v>3856</v>
      </c>
      <c r="B2" s="3168" t="s">
        <v>3857</v>
      </c>
      <c r="C2" s="3168" t="s">
        <v>3858</v>
      </c>
      <c r="D2" s="3168" t="s">
        <v>3859</v>
      </c>
      <c r="E2" s="3168" t="s">
        <v>3860</v>
      </c>
      <c r="F2" s="3168" t="s">
        <v>3860</v>
      </c>
      <c r="G2" s="3168" t="s">
        <v>3861</v>
      </c>
      <c r="H2" s="3168" t="s">
        <v>3862</v>
      </c>
      <c r="I2" s="3168">
        <v>2523</v>
      </c>
      <c r="J2" s="3168">
        <v>6484.11</v>
      </c>
      <c r="K2" s="3168" t="s">
        <v>3863</v>
      </c>
      <c r="L2" s="3168" t="s">
        <v>3864</v>
      </c>
      <c r="M2" s="3168" t="s">
        <v>3865</v>
      </c>
      <c r="N2" s="3168" t="s">
        <v>3866</v>
      </c>
      <c r="O2" s="3168" t="s">
        <v>3867</v>
      </c>
      <c r="P2" s="3168" t="s">
        <v>3867</v>
      </c>
      <c r="Q2" s="3169">
        <v>45355.000497685185</v>
      </c>
      <c r="R2" s="3168" t="s">
        <v>3868</v>
      </c>
      <c r="S2" s="3168" t="s">
        <v>3869</v>
      </c>
      <c r="T2" s="3168" t="s">
        <v>3870</v>
      </c>
      <c r="U2" s="3168">
        <v>302</v>
      </c>
      <c r="V2" s="3168">
        <v>1196.98</v>
      </c>
      <c r="W2" s="3168">
        <v>79.8</v>
      </c>
      <c r="X2" s="3170">
        <v>466</v>
      </c>
      <c r="Y2" s="3168" t="s">
        <v>3867</v>
      </c>
      <c r="Z2" s="3168">
        <v>0</v>
      </c>
      <c r="AA2" s="3168" t="s">
        <v>3871</v>
      </c>
      <c r="AB2" s="3168" t="s">
        <v>3867</v>
      </c>
      <c r="AC2" s="3168" t="s">
        <v>3867</v>
      </c>
      <c r="AD2" s="3168" t="s">
        <v>3867</v>
      </c>
      <c r="AE2" s="3168" t="s">
        <v>3867</v>
      </c>
      <c r="AF2" s="3168" t="s">
        <v>3872</v>
      </c>
      <c r="AG2" s="3168" t="s">
        <v>3873</v>
      </c>
      <c r="AH2" s="3168" t="s">
        <v>3874</v>
      </c>
    </row>
    <row r="3" spans="1:34" hidden="1">
      <c r="A3" s="3168" t="s">
        <v>3875</v>
      </c>
      <c r="B3" s="3168" t="s">
        <v>3857</v>
      </c>
      <c r="C3" s="3168" t="s">
        <v>3876</v>
      </c>
      <c r="D3" s="3168" t="s">
        <v>3859</v>
      </c>
      <c r="E3" s="3168" t="s">
        <v>3860</v>
      </c>
      <c r="F3" s="3168" t="s">
        <v>3860</v>
      </c>
      <c r="G3" s="3168" t="s">
        <v>3877</v>
      </c>
      <c r="H3" s="3168" t="s">
        <v>3862</v>
      </c>
      <c r="I3" s="3168">
        <v>4646</v>
      </c>
      <c r="J3" s="3168">
        <v>6969</v>
      </c>
      <c r="K3" s="3168" t="s">
        <v>3878</v>
      </c>
      <c r="L3" s="3168" t="s">
        <v>3879</v>
      </c>
      <c r="M3" s="3168" t="s">
        <v>3880</v>
      </c>
      <c r="N3" s="3168" t="s">
        <v>3866</v>
      </c>
      <c r="O3" s="3168" t="s">
        <v>3867</v>
      </c>
      <c r="P3" s="3168" t="s">
        <v>3867</v>
      </c>
      <c r="Q3" s="3169">
        <v>45271.000497685185</v>
      </c>
      <c r="R3" s="3168" t="s">
        <v>3868</v>
      </c>
      <c r="S3" s="3168" t="s">
        <v>3881</v>
      </c>
      <c r="T3" s="3168" t="s">
        <v>3882</v>
      </c>
      <c r="U3" s="3168">
        <v>690</v>
      </c>
      <c r="V3" s="3168">
        <v>1485.14</v>
      </c>
      <c r="W3" s="3168">
        <v>99.01</v>
      </c>
      <c r="X3" s="3170">
        <v>990</v>
      </c>
      <c r="Y3" s="3168" t="s">
        <v>3867</v>
      </c>
      <c r="Z3" s="3168">
        <v>0</v>
      </c>
      <c r="AA3" s="3168" t="s">
        <v>3871</v>
      </c>
      <c r="AB3" s="3168" t="s">
        <v>3867</v>
      </c>
      <c r="AC3" s="3168" t="s">
        <v>3867</v>
      </c>
      <c r="AD3" s="3168" t="s">
        <v>3867</v>
      </c>
      <c r="AE3" s="3168" t="s">
        <v>3867</v>
      </c>
      <c r="AF3" s="3168" t="s">
        <v>3883</v>
      </c>
      <c r="AG3" s="3168" t="s">
        <v>3884</v>
      </c>
      <c r="AH3" s="3168" t="s">
        <v>3885</v>
      </c>
    </row>
    <row r="4" spans="1:34" s="3174" customFormat="1">
      <c r="A4" s="3171" t="s">
        <v>3886</v>
      </c>
      <c r="B4" s="3171" t="s">
        <v>3857</v>
      </c>
      <c r="C4" s="3171" t="s">
        <v>3887</v>
      </c>
      <c r="D4" s="3171" t="s">
        <v>3859</v>
      </c>
      <c r="E4" s="3171" t="s">
        <v>3860</v>
      </c>
      <c r="F4" s="3171" t="s">
        <v>3860</v>
      </c>
      <c r="G4" s="3171" t="s">
        <v>3888</v>
      </c>
      <c r="H4" s="3171" t="s">
        <v>3862</v>
      </c>
      <c r="I4" s="3171">
        <v>80482</v>
      </c>
      <c r="J4" s="3171">
        <v>112674.8</v>
      </c>
      <c r="K4" s="3171" t="s">
        <v>3889</v>
      </c>
      <c r="L4" s="3171" t="s">
        <v>3864</v>
      </c>
      <c r="M4" s="3171" t="s">
        <v>3880</v>
      </c>
      <c r="N4" s="3171" t="s">
        <v>3866</v>
      </c>
      <c r="O4" s="3171" t="s">
        <v>3867</v>
      </c>
      <c r="P4" s="3171" t="s">
        <v>3867</v>
      </c>
      <c r="Q4" s="3172">
        <v>45278.000497685185</v>
      </c>
      <c r="R4" s="3171" t="s">
        <v>3868</v>
      </c>
      <c r="S4" s="3171" t="s">
        <v>3881</v>
      </c>
      <c r="T4" s="3171" t="s">
        <v>3882</v>
      </c>
      <c r="U4" s="3171">
        <v>12000</v>
      </c>
      <c r="V4" s="3171">
        <v>1491.01</v>
      </c>
      <c r="W4" s="3171">
        <v>99.4</v>
      </c>
      <c r="X4" s="3173">
        <v>1065</v>
      </c>
      <c r="Y4" s="3171" t="s">
        <v>3867</v>
      </c>
      <c r="Z4" s="3171">
        <v>0</v>
      </c>
      <c r="AA4" s="3171" t="s">
        <v>3871</v>
      </c>
      <c r="AB4" s="3171" t="s">
        <v>3867</v>
      </c>
      <c r="AC4" s="3171" t="s">
        <v>3867</v>
      </c>
      <c r="AD4" s="3171" t="s">
        <v>3867</v>
      </c>
      <c r="AE4" s="3171" t="s">
        <v>3867</v>
      </c>
      <c r="AF4" s="3171" t="s">
        <v>3883</v>
      </c>
      <c r="AG4" s="3171" t="s">
        <v>3884</v>
      </c>
      <c r="AH4" s="3171" t="s">
        <v>3890</v>
      </c>
    </row>
    <row r="5" spans="1:34" hidden="1">
      <c r="A5" s="3168" t="s">
        <v>3891</v>
      </c>
      <c r="B5" s="3168" t="s">
        <v>3857</v>
      </c>
      <c r="C5" s="3168" t="s">
        <v>3892</v>
      </c>
      <c r="D5" s="3168" t="s">
        <v>3859</v>
      </c>
      <c r="E5" s="3168" t="s">
        <v>3860</v>
      </c>
      <c r="F5" s="3168" t="s">
        <v>3860</v>
      </c>
      <c r="G5" s="3168" t="s">
        <v>3893</v>
      </c>
      <c r="H5" s="3168" t="s">
        <v>3862</v>
      </c>
      <c r="I5" s="3168">
        <v>20834</v>
      </c>
      <c r="J5" s="3168">
        <v>39584.6</v>
      </c>
      <c r="K5" s="3168" t="s">
        <v>3894</v>
      </c>
      <c r="L5" s="3168" t="s">
        <v>3864</v>
      </c>
      <c r="M5" s="3168" t="s">
        <v>3880</v>
      </c>
      <c r="N5" s="3168" t="s">
        <v>3866</v>
      </c>
      <c r="O5" s="3168" t="s">
        <v>3867</v>
      </c>
      <c r="P5" s="3168" t="s">
        <v>3867</v>
      </c>
      <c r="Q5" s="3169">
        <v>45278.000497685185</v>
      </c>
      <c r="R5" s="3168" t="s">
        <v>3868</v>
      </c>
      <c r="S5" s="3168" t="s">
        <v>3881</v>
      </c>
      <c r="T5" s="3168" t="s">
        <v>3867</v>
      </c>
      <c r="U5" s="3168">
        <v>3250</v>
      </c>
      <c r="V5" s="3168">
        <v>1559.95</v>
      </c>
      <c r="W5" s="3168">
        <v>104</v>
      </c>
      <c r="X5" s="3170">
        <v>821</v>
      </c>
      <c r="Y5" s="3168" t="s">
        <v>3867</v>
      </c>
      <c r="Z5" s="3168">
        <v>0</v>
      </c>
      <c r="AA5" s="3168" t="s">
        <v>3871</v>
      </c>
      <c r="AB5" s="3168" t="s">
        <v>3867</v>
      </c>
      <c r="AC5" s="3168" t="s">
        <v>3867</v>
      </c>
      <c r="AD5" s="3168" t="s">
        <v>3867</v>
      </c>
      <c r="AE5" s="3168" t="s">
        <v>3867</v>
      </c>
      <c r="AF5" s="3168" t="s">
        <v>3883</v>
      </c>
      <c r="AG5" s="3168" t="s">
        <v>3884</v>
      </c>
      <c r="AH5" s="3168" t="s">
        <v>3895</v>
      </c>
    </row>
    <row r="6" spans="1:34" hidden="1">
      <c r="A6" s="3168" t="s">
        <v>3896</v>
      </c>
      <c r="B6" s="3168" t="s">
        <v>3857</v>
      </c>
      <c r="C6" s="3168" t="s">
        <v>3897</v>
      </c>
      <c r="D6" s="3168" t="s">
        <v>3859</v>
      </c>
      <c r="E6" s="3168" t="s">
        <v>3860</v>
      </c>
      <c r="F6" s="3168" t="s">
        <v>3860</v>
      </c>
      <c r="G6" s="3168" t="s">
        <v>3898</v>
      </c>
      <c r="H6" s="3168" t="s">
        <v>3862</v>
      </c>
      <c r="I6" s="3168">
        <v>30225.09</v>
      </c>
      <c r="J6" s="3168">
        <v>51382.65</v>
      </c>
      <c r="K6" s="3168" t="s">
        <v>3899</v>
      </c>
      <c r="L6" s="3168" t="s">
        <v>3864</v>
      </c>
      <c r="M6" s="3168" t="s">
        <v>3880</v>
      </c>
      <c r="N6" s="3168" t="s">
        <v>3866</v>
      </c>
      <c r="O6" s="3168" t="s">
        <v>3867</v>
      </c>
      <c r="P6" s="3168" t="s">
        <v>3867</v>
      </c>
      <c r="Q6" s="3169">
        <v>45007.000497685185</v>
      </c>
      <c r="R6" s="3168" t="s">
        <v>3868</v>
      </c>
      <c r="S6" s="3168" t="s">
        <v>3881</v>
      </c>
      <c r="T6" s="3168" t="s">
        <v>3867</v>
      </c>
      <c r="U6" s="3168">
        <v>4464</v>
      </c>
      <c r="V6" s="3168">
        <v>1476.91</v>
      </c>
      <c r="W6" s="3168">
        <v>98.46</v>
      </c>
      <c r="X6" s="3170">
        <v>869</v>
      </c>
      <c r="Y6" s="3168" t="s">
        <v>3867</v>
      </c>
      <c r="Z6" s="3168">
        <v>0.01</v>
      </c>
      <c r="AA6" s="3168" t="s">
        <v>3871</v>
      </c>
      <c r="AB6" s="3168" t="s">
        <v>3867</v>
      </c>
      <c r="AC6" s="3168" t="s">
        <v>3867</v>
      </c>
      <c r="AD6" s="3168" t="s">
        <v>3867</v>
      </c>
      <c r="AE6" s="3168" t="s">
        <v>3867</v>
      </c>
      <c r="AF6" s="3168" t="s">
        <v>3883</v>
      </c>
      <c r="AG6" s="3168" t="s">
        <v>3884</v>
      </c>
      <c r="AH6" s="3168" t="s">
        <v>3900</v>
      </c>
    </row>
    <row r="7" spans="1:34" hidden="1">
      <c r="A7" s="3168" t="s">
        <v>3896</v>
      </c>
      <c r="B7" s="3168" t="s">
        <v>3857</v>
      </c>
      <c r="C7" s="3168" t="s">
        <v>3901</v>
      </c>
      <c r="D7" s="3168" t="s">
        <v>3859</v>
      </c>
      <c r="E7" s="3168" t="s">
        <v>3860</v>
      </c>
      <c r="F7" s="3168" t="s">
        <v>3860</v>
      </c>
      <c r="G7" s="3168" t="s">
        <v>3898</v>
      </c>
      <c r="H7" s="3168" t="s">
        <v>3862</v>
      </c>
      <c r="I7" s="3168">
        <v>49997.99</v>
      </c>
      <c r="J7" s="3168">
        <v>84996.58</v>
      </c>
      <c r="K7" s="3168" t="s">
        <v>3899</v>
      </c>
      <c r="L7" s="3168" t="s">
        <v>3864</v>
      </c>
      <c r="M7" s="3168" t="s">
        <v>3880</v>
      </c>
      <c r="N7" s="3168" t="s">
        <v>3866</v>
      </c>
      <c r="O7" s="3168" t="s">
        <v>3867</v>
      </c>
      <c r="P7" s="3168" t="s">
        <v>3867</v>
      </c>
      <c r="Q7" s="3169">
        <v>45007.000497685185</v>
      </c>
      <c r="R7" s="3168" t="s">
        <v>3868</v>
      </c>
      <c r="S7" s="3168" t="s">
        <v>3881</v>
      </c>
      <c r="T7" s="3168" t="s">
        <v>3867</v>
      </c>
      <c r="U7" s="3168">
        <v>7384</v>
      </c>
      <c r="V7" s="3168">
        <v>1476.85</v>
      </c>
      <c r="W7" s="3168">
        <v>98.46</v>
      </c>
      <c r="X7" s="3170">
        <v>869</v>
      </c>
      <c r="Y7" s="3168" t="s">
        <v>3867</v>
      </c>
      <c r="Z7" s="3168">
        <v>0.01</v>
      </c>
      <c r="AA7" s="3168" t="s">
        <v>3871</v>
      </c>
      <c r="AB7" s="3168" t="s">
        <v>3867</v>
      </c>
      <c r="AC7" s="3168" t="s">
        <v>3867</v>
      </c>
      <c r="AD7" s="3168" t="s">
        <v>3867</v>
      </c>
      <c r="AE7" s="3168" t="s">
        <v>3867</v>
      </c>
      <c r="AF7" s="3168" t="s">
        <v>3883</v>
      </c>
      <c r="AG7" s="3168" t="s">
        <v>3884</v>
      </c>
      <c r="AH7" s="3168" t="s">
        <v>3900</v>
      </c>
    </row>
    <row r="8" spans="1:34" hidden="1">
      <c r="A8" s="3168" t="s">
        <v>3902</v>
      </c>
      <c r="B8" s="3168" t="s">
        <v>3857</v>
      </c>
      <c r="C8" s="3168" t="s">
        <v>3903</v>
      </c>
      <c r="D8" s="3168" t="s">
        <v>3859</v>
      </c>
      <c r="E8" s="3168" t="s">
        <v>3860</v>
      </c>
      <c r="F8" s="3168" t="s">
        <v>3860</v>
      </c>
      <c r="G8" s="3168" t="s">
        <v>3904</v>
      </c>
      <c r="H8" s="3168" t="s">
        <v>3862</v>
      </c>
      <c r="I8" s="3168">
        <v>13317.85</v>
      </c>
      <c r="J8" s="3168">
        <v>23972.13</v>
      </c>
      <c r="K8" s="3168" t="s">
        <v>3905</v>
      </c>
      <c r="L8" s="3168" t="s">
        <v>3879</v>
      </c>
      <c r="M8" s="3168" t="s">
        <v>3880</v>
      </c>
      <c r="N8" s="3168" t="s">
        <v>3866</v>
      </c>
      <c r="O8" s="3168" t="s">
        <v>3867</v>
      </c>
      <c r="P8" s="3168" t="s">
        <v>3867</v>
      </c>
      <c r="Q8" s="3169">
        <v>44733.000497685185</v>
      </c>
      <c r="R8" s="3168" t="s">
        <v>3868</v>
      </c>
      <c r="S8" s="3168" t="s">
        <v>3906</v>
      </c>
      <c r="T8" s="3168" t="s">
        <v>3867</v>
      </c>
      <c r="U8" s="3168">
        <v>2220</v>
      </c>
      <c r="V8" s="3168">
        <v>1666.93</v>
      </c>
      <c r="W8" s="3168">
        <v>111.13</v>
      </c>
      <c r="X8" s="3170">
        <v>926</v>
      </c>
      <c r="Y8" s="3168" t="s">
        <v>3867</v>
      </c>
      <c r="Z8" s="3168">
        <v>16.84</v>
      </c>
      <c r="AA8" s="3168" t="s">
        <v>3871</v>
      </c>
      <c r="AB8" s="3168" t="s">
        <v>3867</v>
      </c>
      <c r="AC8" s="3168" t="s">
        <v>3867</v>
      </c>
      <c r="AD8" s="3168" t="s">
        <v>3867</v>
      </c>
      <c r="AE8" s="3168" t="s">
        <v>3867</v>
      </c>
      <c r="AF8" s="3168" t="s">
        <v>3883</v>
      </c>
      <c r="AG8" s="3168" t="s">
        <v>3873</v>
      </c>
      <c r="AH8" s="3168" t="s">
        <v>3874</v>
      </c>
    </row>
    <row r="9" spans="1:34" s="3174" customFormat="1">
      <c r="A9" s="3171" t="s">
        <v>3886</v>
      </c>
      <c r="B9" s="3171" t="s">
        <v>3857</v>
      </c>
      <c r="C9" s="3171" t="s">
        <v>3907</v>
      </c>
      <c r="D9" s="3171" t="s">
        <v>3859</v>
      </c>
      <c r="E9" s="3171" t="s">
        <v>3860</v>
      </c>
      <c r="F9" s="3171" t="s">
        <v>3860</v>
      </c>
      <c r="G9" s="3171" t="s">
        <v>3888</v>
      </c>
      <c r="H9" s="3171" t="s">
        <v>3862</v>
      </c>
      <c r="I9" s="3171">
        <v>61705.83</v>
      </c>
      <c r="J9" s="3171">
        <v>117241.08</v>
      </c>
      <c r="K9" s="3171" t="s">
        <v>3908</v>
      </c>
      <c r="L9" s="3171" t="s">
        <v>3879</v>
      </c>
      <c r="M9" s="3171" t="s">
        <v>3880</v>
      </c>
      <c r="N9" s="3171" t="s">
        <v>3866</v>
      </c>
      <c r="O9" s="3171" t="s">
        <v>3867</v>
      </c>
      <c r="P9" s="3171" t="s">
        <v>3867</v>
      </c>
      <c r="Q9" s="3172">
        <v>44728.000497685185</v>
      </c>
      <c r="R9" s="3171" t="s">
        <v>3868</v>
      </c>
      <c r="S9" s="3171" t="s">
        <v>3909</v>
      </c>
      <c r="T9" s="3171" t="s">
        <v>3910</v>
      </c>
      <c r="U9" s="3171">
        <v>10650</v>
      </c>
      <c r="V9" s="3171">
        <v>1725.93</v>
      </c>
      <c r="W9" s="3171">
        <v>115.06</v>
      </c>
      <c r="X9" s="3173">
        <v>908</v>
      </c>
      <c r="Y9" s="3171" t="s">
        <v>3867</v>
      </c>
      <c r="Z9" s="3171">
        <v>0</v>
      </c>
      <c r="AA9" s="3171" t="s">
        <v>3871</v>
      </c>
      <c r="AB9" s="3171" t="s">
        <v>3867</v>
      </c>
      <c r="AC9" s="3171" t="s">
        <v>3867</v>
      </c>
      <c r="AD9" s="3171" t="s">
        <v>3867</v>
      </c>
      <c r="AE9" s="3171" t="s">
        <v>3867</v>
      </c>
      <c r="AF9" s="3171" t="s">
        <v>3883</v>
      </c>
      <c r="AG9" s="3171" t="s">
        <v>3873</v>
      </c>
      <c r="AH9" s="3171" t="s">
        <v>3874</v>
      </c>
    </row>
    <row r="10" spans="1:34" hidden="1">
      <c r="A10" s="3168" t="s">
        <v>3911</v>
      </c>
      <c r="B10" s="3168" t="s">
        <v>3857</v>
      </c>
      <c r="C10" s="3168" t="s">
        <v>3912</v>
      </c>
      <c r="D10" s="3168" t="s">
        <v>3859</v>
      </c>
      <c r="E10" s="3168" t="s">
        <v>3860</v>
      </c>
      <c r="F10" s="3168" t="s">
        <v>3860</v>
      </c>
      <c r="G10" s="3168" t="s">
        <v>3913</v>
      </c>
      <c r="H10" s="3168" t="s">
        <v>3862</v>
      </c>
      <c r="I10" s="3168">
        <v>203.89</v>
      </c>
      <c r="J10" s="3168">
        <v>387.39</v>
      </c>
      <c r="K10" s="3168" t="s">
        <v>3908</v>
      </c>
      <c r="L10" s="3168" t="s">
        <v>3879</v>
      </c>
      <c r="M10" s="3168" t="s">
        <v>3880</v>
      </c>
      <c r="N10" s="3168" t="s">
        <v>3866</v>
      </c>
      <c r="O10" s="3168" t="s">
        <v>3867</v>
      </c>
      <c r="P10" s="3168" t="s">
        <v>3867</v>
      </c>
      <c r="Q10" s="3169">
        <v>44643.000497685185</v>
      </c>
      <c r="R10" s="3168" t="s">
        <v>3868</v>
      </c>
      <c r="S10" s="3168" t="s">
        <v>3906</v>
      </c>
      <c r="T10" s="3168" t="s">
        <v>3867</v>
      </c>
      <c r="U10" s="3168">
        <v>60</v>
      </c>
      <c r="V10" s="3168">
        <v>2942.76</v>
      </c>
      <c r="W10" s="3168">
        <v>196.18</v>
      </c>
      <c r="X10" s="3170">
        <v>1549</v>
      </c>
      <c r="Y10" s="3168" t="s">
        <v>3867</v>
      </c>
      <c r="Z10" s="3168">
        <v>100</v>
      </c>
      <c r="AA10" s="3168" t="s">
        <v>3871</v>
      </c>
      <c r="AB10" s="3168" t="s">
        <v>3867</v>
      </c>
      <c r="AC10" s="3168" t="s">
        <v>3867</v>
      </c>
      <c r="AD10" s="3168" t="s">
        <v>3867</v>
      </c>
      <c r="AE10" s="3168" t="s">
        <v>3867</v>
      </c>
      <c r="AF10" s="3168" t="s">
        <v>3883</v>
      </c>
      <c r="AG10" s="3168" t="s">
        <v>3873</v>
      </c>
      <c r="AH10" s="3168" t="s">
        <v>3874</v>
      </c>
    </row>
    <row r="11" spans="1:34" s="3174" customFormat="1">
      <c r="A11" s="3171" t="s">
        <v>3891</v>
      </c>
      <c r="B11" s="3171" t="s">
        <v>3857</v>
      </c>
      <c r="C11" s="3171" t="s">
        <v>3914</v>
      </c>
      <c r="D11" s="3171" t="s">
        <v>3859</v>
      </c>
      <c r="E11" s="3171" t="s">
        <v>3860</v>
      </c>
      <c r="F11" s="3171" t="s">
        <v>3860</v>
      </c>
      <c r="G11" s="3171" t="s">
        <v>3893</v>
      </c>
      <c r="H11" s="3171" t="s">
        <v>3862</v>
      </c>
      <c r="I11" s="3171">
        <v>85922.2</v>
      </c>
      <c r="J11" s="3171">
        <v>120291.08</v>
      </c>
      <c r="K11" s="3171" t="s">
        <v>3915</v>
      </c>
      <c r="L11" s="3171" t="s">
        <v>3864</v>
      </c>
      <c r="M11" s="3171" t="s">
        <v>3880</v>
      </c>
      <c r="N11" s="3171" t="s">
        <v>3866</v>
      </c>
      <c r="O11" s="3171" t="s">
        <v>3867</v>
      </c>
      <c r="P11" s="3171" t="s">
        <v>3867</v>
      </c>
      <c r="Q11" s="3172">
        <v>44550.000497685185</v>
      </c>
      <c r="R11" s="3171" t="s">
        <v>3868</v>
      </c>
      <c r="S11" s="3171" t="s">
        <v>3916</v>
      </c>
      <c r="T11" s="3171" t="s">
        <v>3910</v>
      </c>
      <c r="U11" s="3171">
        <v>13550</v>
      </c>
      <c r="V11" s="3171">
        <v>1577</v>
      </c>
      <c r="W11" s="3171">
        <v>105.13</v>
      </c>
      <c r="X11" s="3173">
        <v>1126</v>
      </c>
      <c r="Y11" s="3171" t="s">
        <v>3867</v>
      </c>
      <c r="Z11" s="3171">
        <v>0</v>
      </c>
      <c r="AA11" s="3171" t="s">
        <v>3871</v>
      </c>
      <c r="AB11" s="3171" t="s">
        <v>3867</v>
      </c>
      <c r="AC11" s="3171" t="s">
        <v>3867</v>
      </c>
      <c r="AD11" s="3171" t="s">
        <v>3867</v>
      </c>
      <c r="AE11" s="3171" t="s">
        <v>3867</v>
      </c>
      <c r="AF11" s="3171" t="s">
        <v>3917</v>
      </c>
      <c r="AG11" s="3171" t="s">
        <v>3873</v>
      </c>
      <c r="AH11" s="3171" t="s">
        <v>3874</v>
      </c>
    </row>
    <row r="12" spans="1:34" hidden="1">
      <c r="A12" s="3168" t="s">
        <v>3891</v>
      </c>
      <c r="B12" s="3168" t="s">
        <v>3857</v>
      </c>
      <c r="C12" s="3168" t="s">
        <v>3918</v>
      </c>
      <c r="D12" s="3168" t="s">
        <v>3859</v>
      </c>
      <c r="E12" s="3168" t="s">
        <v>3860</v>
      </c>
      <c r="F12" s="3168" t="s">
        <v>3860</v>
      </c>
      <c r="G12" s="3168" t="s">
        <v>3893</v>
      </c>
      <c r="H12" s="3168" t="s">
        <v>3862</v>
      </c>
      <c r="I12" s="3168">
        <v>59129.39</v>
      </c>
      <c r="J12" s="3168">
        <v>82781.149999999994</v>
      </c>
      <c r="K12" s="3168" t="s">
        <v>3915</v>
      </c>
      <c r="L12" s="3168" t="s">
        <v>3864</v>
      </c>
      <c r="M12" s="3168" t="s">
        <v>3880</v>
      </c>
      <c r="N12" s="3168" t="s">
        <v>3866</v>
      </c>
      <c r="O12" s="3168" t="s">
        <v>3867</v>
      </c>
      <c r="P12" s="3168" t="s">
        <v>3867</v>
      </c>
      <c r="Q12" s="3169">
        <v>44550.000497685185</v>
      </c>
      <c r="R12" s="3168" t="s">
        <v>3868</v>
      </c>
      <c r="S12" s="3168" t="s">
        <v>3916</v>
      </c>
      <c r="T12" s="3168" t="s">
        <v>3867</v>
      </c>
      <c r="U12" s="3168">
        <v>9325</v>
      </c>
      <c r="V12" s="3168">
        <v>1577.04</v>
      </c>
      <c r="W12" s="3168">
        <v>105.14</v>
      </c>
      <c r="X12" s="3170">
        <v>1126</v>
      </c>
      <c r="Y12" s="3168" t="s">
        <v>3867</v>
      </c>
      <c r="Z12" s="3168">
        <v>0</v>
      </c>
      <c r="AA12" s="3168" t="s">
        <v>3871</v>
      </c>
      <c r="AB12" s="3168" t="s">
        <v>3867</v>
      </c>
      <c r="AC12" s="3168" t="s">
        <v>3867</v>
      </c>
      <c r="AD12" s="3168" t="s">
        <v>3867</v>
      </c>
      <c r="AE12" s="3168" t="s">
        <v>3867</v>
      </c>
      <c r="AF12" s="3168" t="s">
        <v>3917</v>
      </c>
      <c r="AG12" s="3168" t="s">
        <v>3873</v>
      </c>
      <c r="AH12" s="3168" t="s">
        <v>3874</v>
      </c>
    </row>
    <row r="13" spans="1:34" hidden="1">
      <c r="A13" s="3168" t="s">
        <v>3919</v>
      </c>
      <c r="B13" s="3168" t="s">
        <v>3857</v>
      </c>
      <c r="C13" s="3168" t="s">
        <v>3920</v>
      </c>
      <c r="D13" s="3168" t="s">
        <v>3859</v>
      </c>
      <c r="E13" s="3168" t="s">
        <v>3860</v>
      </c>
      <c r="F13" s="3168" t="s">
        <v>3860</v>
      </c>
      <c r="G13" s="3168" t="s">
        <v>3921</v>
      </c>
      <c r="H13" s="3168" t="s">
        <v>3862</v>
      </c>
      <c r="I13" s="3168">
        <v>65405.87</v>
      </c>
      <c r="J13" s="3168">
        <v>156974.09</v>
      </c>
      <c r="K13" s="3168" t="s">
        <v>3922</v>
      </c>
      <c r="L13" s="3168" t="s">
        <v>3864</v>
      </c>
      <c r="M13" s="3168" t="s">
        <v>3923</v>
      </c>
      <c r="N13" s="3168" t="s">
        <v>3866</v>
      </c>
      <c r="O13" s="3168" t="s">
        <v>3867</v>
      </c>
      <c r="P13" s="3168" t="s">
        <v>3867</v>
      </c>
      <c r="Q13" s="3169">
        <v>44012.000497685185</v>
      </c>
      <c r="R13" s="3168" t="s">
        <v>3868</v>
      </c>
      <c r="S13" s="3168" t="s">
        <v>3924</v>
      </c>
      <c r="T13" s="3168" t="s">
        <v>3925</v>
      </c>
      <c r="U13" s="3168">
        <v>29048.06</v>
      </c>
      <c r="V13" s="3168">
        <v>4441.2</v>
      </c>
      <c r="W13" s="3168">
        <v>296.08</v>
      </c>
      <c r="X13" s="3170">
        <v>1851</v>
      </c>
      <c r="Y13" s="3168" t="s">
        <v>3867</v>
      </c>
      <c r="Z13" s="3168">
        <v>0</v>
      </c>
      <c r="AA13" s="3168" t="s">
        <v>3926</v>
      </c>
      <c r="AB13" s="3168" t="s">
        <v>3867</v>
      </c>
      <c r="AC13" s="3168" t="s">
        <v>3867</v>
      </c>
      <c r="AD13" s="3168" t="s">
        <v>3867</v>
      </c>
      <c r="AE13" s="3168" t="s">
        <v>3867</v>
      </c>
      <c r="AF13" s="3168" t="s">
        <v>3917</v>
      </c>
      <c r="AG13" s="3168" t="s">
        <v>3873</v>
      </c>
      <c r="AH13" s="3168" t="s">
        <v>3874</v>
      </c>
    </row>
    <row r="14" spans="1:34" hidden="1">
      <c r="A14" s="3168" t="s">
        <v>3927</v>
      </c>
      <c r="B14" s="3168" t="s">
        <v>3857</v>
      </c>
      <c r="C14" s="3168" t="s">
        <v>3928</v>
      </c>
      <c r="D14" s="3168" t="s">
        <v>3859</v>
      </c>
      <c r="E14" s="3168" t="s">
        <v>3860</v>
      </c>
      <c r="F14" s="3168" t="s">
        <v>3860</v>
      </c>
      <c r="G14" s="3168" t="s">
        <v>3929</v>
      </c>
      <c r="H14" s="3168" t="s">
        <v>3862</v>
      </c>
      <c r="I14" s="3168">
        <v>114268.81</v>
      </c>
      <c r="J14" s="3168">
        <v>274245.14</v>
      </c>
      <c r="K14" s="3168" t="s">
        <v>3930</v>
      </c>
      <c r="L14" s="3168" t="s">
        <v>3879</v>
      </c>
      <c r="M14" s="3168" t="s">
        <v>3931</v>
      </c>
      <c r="N14" s="3168" t="s">
        <v>3866</v>
      </c>
      <c r="O14" s="3168" t="s">
        <v>3867</v>
      </c>
      <c r="P14" s="3168" t="s">
        <v>3867</v>
      </c>
      <c r="Q14" s="3169">
        <v>44012.000497685185</v>
      </c>
      <c r="R14" s="3168" t="s">
        <v>3868</v>
      </c>
      <c r="S14" s="3168" t="s">
        <v>3924</v>
      </c>
      <c r="T14" s="3168" t="s">
        <v>3925</v>
      </c>
      <c r="U14" s="3168">
        <v>50870.28</v>
      </c>
      <c r="V14" s="3168">
        <v>4451.8</v>
      </c>
      <c r="W14" s="3168">
        <v>296.79000000000002</v>
      </c>
      <c r="X14" s="3170">
        <v>1855</v>
      </c>
      <c r="Y14" s="3168" t="s">
        <v>3867</v>
      </c>
      <c r="Z14" s="3168">
        <v>0</v>
      </c>
      <c r="AA14" s="3168" t="s">
        <v>3871</v>
      </c>
      <c r="AB14" s="3168" t="s">
        <v>3867</v>
      </c>
      <c r="AC14" s="3168" t="s">
        <v>3867</v>
      </c>
      <c r="AD14" s="3168" t="s">
        <v>3867</v>
      </c>
      <c r="AE14" s="3168" t="s">
        <v>3867</v>
      </c>
      <c r="AF14" s="3168" t="s">
        <v>3917</v>
      </c>
      <c r="AG14" s="3168" t="s">
        <v>3873</v>
      </c>
      <c r="AH14" s="3168" t="s">
        <v>3874</v>
      </c>
    </row>
    <row r="15" spans="1:34" hidden="1">
      <c r="A15" s="3168" t="s">
        <v>3886</v>
      </c>
      <c r="B15" s="3168" t="s">
        <v>3857</v>
      </c>
      <c r="C15" s="3168" t="s">
        <v>3932</v>
      </c>
      <c r="D15" s="3168" t="s">
        <v>3859</v>
      </c>
      <c r="E15" s="3168" t="s">
        <v>3860</v>
      </c>
      <c r="F15" s="3168" t="s">
        <v>3860</v>
      </c>
      <c r="G15" s="3168" t="s">
        <v>3888</v>
      </c>
      <c r="H15" s="3168" t="s">
        <v>3862</v>
      </c>
      <c r="I15" s="3168">
        <v>80482</v>
      </c>
      <c r="J15" s="3168">
        <v>112674.8</v>
      </c>
      <c r="K15" s="3168" t="s">
        <v>3915</v>
      </c>
      <c r="L15" s="3168" t="s">
        <v>3864</v>
      </c>
      <c r="M15" s="3168" t="s">
        <v>3931</v>
      </c>
      <c r="N15" s="3168" t="s">
        <v>3866</v>
      </c>
      <c r="O15" s="3168" t="s">
        <v>3867</v>
      </c>
      <c r="P15" s="3168" t="s">
        <v>3867</v>
      </c>
      <c r="Q15" s="3169">
        <v>43998.000497685185</v>
      </c>
      <c r="R15" s="3168" t="s">
        <v>3868</v>
      </c>
      <c r="S15" s="3168" t="s">
        <v>3933</v>
      </c>
      <c r="T15" s="3168" t="s">
        <v>3934</v>
      </c>
      <c r="U15" s="3168">
        <v>14849</v>
      </c>
      <c r="V15" s="3168">
        <v>1845</v>
      </c>
      <c r="W15" s="3168">
        <v>123</v>
      </c>
      <c r="X15" s="3170">
        <v>1318</v>
      </c>
      <c r="Y15" s="3168" t="s">
        <v>3867</v>
      </c>
      <c r="Z15" s="3168">
        <v>0</v>
      </c>
      <c r="AA15" s="3168" t="s">
        <v>3871</v>
      </c>
      <c r="AB15" s="3168" t="s">
        <v>3867</v>
      </c>
      <c r="AC15" s="3168" t="s">
        <v>3867</v>
      </c>
      <c r="AD15" s="3168" t="s">
        <v>3867</v>
      </c>
      <c r="AE15" s="3168" t="s">
        <v>3867</v>
      </c>
      <c r="AF15" s="3168" t="s">
        <v>3917</v>
      </c>
      <c r="AG15" s="3168" t="s">
        <v>3873</v>
      </c>
      <c r="AH15" s="3168" t="s">
        <v>3874</v>
      </c>
    </row>
    <row r="16" spans="1:34" hidden="1">
      <c r="A16" s="3168" t="s">
        <v>3935</v>
      </c>
      <c r="B16" s="3168" t="s">
        <v>3857</v>
      </c>
      <c r="C16" s="3168" t="s">
        <v>3936</v>
      </c>
      <c r="D16" s="3168" t="s">
        <v>3859</v>
      </c>
      <c r="E16" s="3168" t="s">
        <v>3860</v>
      </c>
      <c r="F16" s="3168" t="s">
        <v>3860</v>
      </c>
      <c r="G16" s="3168" t="s">
        <v>3937</v>
      </c>
      <c r="H16" s="3168" t="s">
        <v>3862</v>
      </c>
      <c r="I16" s="3168">
        <v>33563.54</v>
      </c>
      <c r="J16" s="3168">
        <v>63770.73</v>
      </c>
      <c r="K16" s="3168" t="s">
        <v>3938</v>
      </c>
      <c r="L16" s="3168" t="s">
        <v>3864</v>
      </c>
      <c r="M16" s="3168" t="s">
        <v>3931</v>
      </c>
      <c r="N16" s="3168" t="s">
        <v>3866</v>
      </c>
      <c r="O16" s="3168" t="s">
        <v>3867</v>
      </c>
      <c r="P16" s="3168" t="s">
        <v>3867</v>
      </c>
      <c r="Q16" s="3169">
        <v>43971.000497685185</v>
      </c>
      <c r="R16" s="3168" t="s">
        <v>3868</v>
      </c>
      <c r="S16" s="3168" t="s">
        <v>3939</v>
      </c>
      <c r="T16" s="3168" t="s">
        <v>3867</v>
      </c>
      <c r="U16" s="3168">
        <v>5034</v>
      </c>
      <c r="V16" s="3168">
        <v>1499.84</v>
      </c>
      <c r="W16" s="3168">
        <v>99.99</v>
      </c>
      <c r="X16" s="3170">
        <v>789</v>
      </c>
      <c r="Y16" s="3168" t="s">
        <v>3867</v>
      </c>
      <c r="Z16" s="3168">
        <v>0</v>
      </c>
      <c r="AA16" s="3168" t="s">
        <v>3871</v>
      </c>
      <c r="AB16" s="3168" t="s">
        <v>3867</v>
      </c>
      <c r="AC16" s="3168" t="s">
        <v>3867</v>
      </c>
      <c r="AD16" s="3168" t="s">
        <v>3867</v>
      </c>
      <c r="AE16" s="3168" t="s">
        <v>3867</v>
      </c>
      <c r="AF16" s="3168" t="s">
        <v>3917</v>
      </c>
      <c r="AG16" s="3168" t="s">
        <v>3873</v>
      </c>
      <c r="AH16" s="3168" t="s">
        <v>3874</v>
      </c>
    </row>
    <row r="17" spans="1:34" hidden="1">
      <c r="A17" s="2853" t="s">
        <v>3940</v>
      </c>
      <c r="B17" s="2853" t="s">
        <v>3857</v>
      </c>
      <c r="C17" s="2853" t="s">
        <v>3941</v>
      </c>
      <c r="D17" s="2853" t="s">
        <v>3859</v>
      </c>
      <c r="E17" s="2853" t="s">
        <v>3860</v>
      </c>
      <c r="F17" s="2853" t="s">
        <v>3860</v>
      </c>
      <c r="G17" s="2853" t="s">
        <v>3942</v>
      </c>
      <c r="H17" s="2853" t="s">
        <v>3862</v>
      </c>
      <c r="I17" s="2853">
        <v>13575.57</v>
      </c>
      <c r="J17" s="2853">
        <v>19005.8</v>
      </c>
      <c r="K17" s="2853" t="s">
        <v>3943</v>
      </c>
      <c r="L17" s="2853" t="s">
        <v>3864</v>
      </c>
      <c r="M17" s="2853" t="s">
        <v>3931</v>
      </c>
      <c r="N17" s="2853" t="s">
        <v>3866</v>
      </c>
      <c r="O17" s="2853" t="s">
        <v>3867</v>
      </c>
      <c r="P17" s="2853" t="s">
        <v>3867</v>
      </c>
      <c r="Q17" s="3169">
        <v>43966.000497685185</v>
      </c>
      <c r="R17" s="2853" t="s">
        <v>3868</v>
      </c>
      <c r="S17" s="2853" t="s">
        <v>3944</v>
      </c>
      <c r="T17" s="2853" t="s">
        <v>3867</v>
      </c>
      <c r="U17" s="2853">
        <v>462</v>
      </c>
      <c r="V17" s="2853">
        <v>340.31</v>
      </c>
      <c r="W17" s="2853">
        <v>22.69</v>
      </c>
      <c r="X17" s="3170">
        <v>243</v>
      </c>
      <c r="Y17" s="2853" t="s">
        <v>3867</v>
      </c>
      <c r="Z17" s="2853">
        <v>0</v>
      </c>
      <c r="AA17" s="2853" t="s">
        <v>3871</v>
      </c>
      <c r="AB17" s="2853" t="s">
        <v>3867</v>
      </c>
      <c r="AC17" s="2853" t="s">
        <v>3867</v>
      </c>
      <c r="AD17" s="2853" t="s">
        <v>3867</v>
      </c>
      <c r="AE17" s="2853" t="s">
        <v>3867</v>
      </c>
      <c r="AF17" s="2853" t="s">
        <v>3917</v>
      </c>
      <c r="AG17" s="2853" t="s">
        <v>3873</v>
      </c>
      <c r="AH17" s="2853" t="s">
        <v>3874</v>
      </c>
    </row>
    <row r="18" spans="1:34" s="3170" customFormat="1" hidden="1">
      <c r="A18" s="3170" t="s">
        <v>3886</v>
      </c>
      <c r="B18" s="3170" t="s">
        <v>3857</v>
      </c>
      <c r="C18" s="3170" t="s">
        <v>3945</v>
      </c>
      <c r="D18" s="3170" t="s">
        <v>3859</v>
      </c>
      <c r="E18" s="3170" t="s">
        <v>3860</v>
      </c>
      <c r="F18" s="3170" t="s">
        <v>3860</v>
      </c>
      <c r="G18" s="3170" t="s">
        <v>3888</v>
      </c>
      <c r="H18" s="3170" t="s">
        <v>3862</v>
      </c>
      <c r="I18" s="3170">
        <v>103091.11</v>
      </c>
      <c r="J18" s="3170">
        <v>195873.11</v>
      </c>
      <c r="K18" s="3170" t="s">
        <v>3908</v>
      </c>
      <c r="L18" s="3170" t="s">
        <v>3879</v>
      </c>
      <c r="M18" s="3170" t="s">
        <v>3931</v>
      </c>
      <c r="N18" s="3170" t="s">
        <v>3866</v>
      </c>
      <c r="O18" s="3170" t="s">
        <v>3867</v>
      </c>
      <c r="P18" s="3170" t="s">
        <v>3867</v>
      </c>
      <c r="Q18" s="3175">
        <v>43851.000497685185</v>
      </c>
      <c r="R18" s="3170" t="s">
        <v>3868</v>
      </c>
      <c r="S18" s="3170" t="s">
        <v>3946</v>
      </c>
      <c r="T18" s="3170" t="s">
        <v>3947</v>
      </c>
      <c r="U18" s="3170">
        <v>19021</v>
      </c>
      <c r="V18" s="3170">
        <v>1845.06</v>
      </c>
      <c r="W18" s="3170">
        <v>123</v>
      </c>
      <c r="X18" s="3170">
        <v>971</v>
      </c>
      <c r="Y18" s="3170" t="s">
        <v>3867</v>
      </c>
      <c r="Z18" s="3170">
        <v>0</v>
      </c>
      <c r="AA18" s="3170" t="s">
        <v>3871</v>
      </c>
      <c r="AB18" s="3170" t="s">
        <v>3867</v>
      </c>
      <c r="AC18" s="3170" t="s">
        <v>3867</v>
      </c>
      <c r="AD18" s="3170" t="s">
        <v>3867</v>
      </c>
      <c r="AE18" s="3170" t="s">
        <v>3867</v>
      </c>
      <c r="AF18" s="3170" t="s">
        <v>3917</v>
      </c>
      <c r="AG18" s="3170" t="s">
        <v>3873</v>
      </c>
      <c r="AH18" s="3170" t="s">
        <v>3874</v>
      </c>
    </row>
    <row r="19" spans="1:34" hidden="1">
      <c r="A19" s="2853" t="s">
        <v>3948</v>
      </c>
      <c r="B19" s="2853" t="s">
        <v>3857</v>
      </c>
      <c r="C19" s="2853" t="s">
        <v>3949</v>
      </c>
      <c r="D19" s="2853" t="s">
        <v>3859</v>
      </c>
      <c r="E19" s="2853" t="s">
        <v>3950</v>
      </c>
      <c r="F19" s="2853" t="s">
        <v>3860</v>
      </c>
      <c r="G19" s="2853" t="s">
        <v>3951</v>
      </c>
      <c r="H19" s="2853" t="s">
        <v>3862</v>
      </c>
      <c r="I19" s="2853">
        <v>15511.81</v>
      </c>
      <c r="J19" s="2853">
        <v>29472.44</v>
      </c>
      <c r="K19" s="2853" t="s">
        <v>3908</v>
      </c>
      <c r="L19" s="2853" t="s">
        <v>3864</v>
      </c>
      <c r="M19" s="2853" t="s">
        <v>3931</v>
      </c>
      <c r="N19" s="2853" t="s">
        <v>3866</v>
      </c>
      <c r="O19" s="2853" t="s">
        <v>3867</v>
      </c>
      <c r="P19" s="2853" t="s">
        <v>3867</v>
      </c>
      <c r="Q19" s="3169">
        <v>43843.000497685185</v>
      </c>
      <c r="R19" s="2853" t="s">
        <v>3868</v>
      </c>
      <c r="S19" s="2853" t="s">
        <v>3952</v>
      </c>
      <c r="T19" s="2853" t="s">
        <v>3867</v>
      </c>
      <c r="U19" s="2853">
        <v>2862</v>
      </c>
      <c r="V19" s="2853">
        <v>1845.04</v>
      </c>
      <c r="W19" s="2853">
        <v>123</v>
      </c>
      <c r="X19" s="3170">
        <v>971</v>
      </c>
      <c r="Y19" s="2853" t="s">
        <v>3867</v>
      </c>
      <c r="Z19" s="2853">
        <v>0</v>
      </c>
      <c r="AA19" s="2853" t="s">
        <v>3871</v>
      </c>
      <c r="AB19" s="2853" t="s">
        <v>3867</v>
      </c>
      <c r="AC19" s="2853" t="s">
        <v>3867</v>
      </c>
      <c r="AD19" s="2853" t="s">
        <v>3867</v>
      </c>
      <c r="AE19" s="2853" t="s">
        <v>3867</v>
      </c>
      <c r="AF19" s="2853" t="s">
        <v>3917</v>
      </c>
      <c r="AG19" s="2853" t="s">
        <v>3873</v>
      </c>
      <c r="AH19" s="2853" t="s">
        <v>3874</v>
      </c>
    </row>
    <row r="20" spans="1:34" hidden="1">
      <c r="A20" s="2853" t="s">
        <v>3886</v>
      </c>
      <c r="B20" s="2853" t="s">
        <v>3857</v>
      </c>
      <c r="C20" s="2853" t="s">
        <v>3953</v>
      </c>
      <c r="D20" s="2853" t="s">
        <v>3859</v>
      </c>
      <c r="E20" s="2853" t="s">
        <v>3860</v>
      </c>
      <c r="F20" s="2853" t="s">
        <v>3860</v>
      </c>
      <c r="G20" s="2853" t="s">
        <v>3888</v>
      </c>
      <c r="H20" s="2853" t="s">
        <v>3862</v>
      </c>
      <c r="I20" s="2853">
        <v>45568.75</v>
      </c>
      <c r="J20" s="2853">
        <v>86580.63</v>
      </c>
      <c r="K20" s="2853" t="s">
        <v>3908</v>
      </c>
      <c r="L20" s="2853" t="s">
        <v>3879</v>
      </c>
      <c r="M20" s="2853" t="s">
        <v>3931</v>
      </c>
      <c r="N20" s="2853" t="s">
        <v>3866</v>
      </c>
      <c r="O20" s="2853" t="s">
        <v>3867</v>
      </c>
      <c r="P20" s="2853" t="s">
        <v>3867</v>
      </c>
      <c r="Q20" s="3169">
        <v>43811.000497685185</v>
      </c>
      <c r="R20" s="2853" t="s">
        <v>3868</v>
      </c>
      <c r="S20" s="2853" t="s">
        <v>3954</v>
      </c>
      <c r="T20" s="2853" t="s">
        <v>3867</v>
      </c>
      <c r="U20" s="2853">
        <v>8408</v>
      </c>
      <c r="V20" s="2853">
        <v>1845.12</v>
      </c>
      <c r="W20" s="2853">
        <v>123.01</v>
      </c>
      <c r="X20" s="3170">
        <v>971</v>
      </c>
      <c r="Y20" s="2853" t="s">
        <v>3867</v>
      </c>
      <c r="Z20" s="2853">
        <v>0</v>
      </c>
      <c r="AA20" s="2853" t="s">
        <v>3871</v>
      </c>
      <c r="AB20" s="2853" t="s">
        <v>3867</v>
      </c>
      <c r="AC20" s="2853" t="s">
        <v>3867</v>
      </c>
      <c r="AD20" s="2853" t="s">
        <v>3867</v>
      </c>
      <c r="AE20" s="2853" t="s">
        <v>3867</v>
      </c>
      <c r="AF20" s="2853" t="s">
        <v>3917</v>
      </c>
      <c r="AG20" s="2853" t="s">
        <v>3873</v>
      </c>
      <c r="AH20" s="2853" t="s">
        <v>3874</v>
      </c>
    </row>
    <row r="21" spans="1:34" hidden="1">
      <c r="A21" s="2853" t="s">
        <v>3886</v>
      </c>
      <c r="B21" s="2853" t="s">
        <v>3857</v>
      </c>
      <c r="C21" s="2853" t="s">
        <v>3955</v>
      </c>
      <c r="D21" s="2853" t="s">
        <v>3859</v>
      </c>
      <c r="E21" s="2853" t="s">
        <v>3860</v>
      </c>
      <c r="F21" s="2853" t="s">
        <v>3860</v>
      </c>
      <c r="G21" s="2853" t="s">
        <v>3888</v>
      </c>
      <c r="H21" s="2853" t="s">
        <v>3862</v>
      </c>
      <c r="I21" s="2853">
        <v>43833.99</v>
      </c>
      <c r="J21" s="2853">
        <v>83284.58</v>
      </c>
      <c r="K21" s="2853" t="s">
        <v>3908</v>
      </c>
      <c r="L21" s="2853" t="s">
        <v>3879</v>
      </c>
      <c r="M21" s="2853" t="s">
        <v>3931</v>
      </c>
      <c r="N21" s="2853" t="s">
        <v>3866</v>
      </c>
      <c r="O21" s="2853" t="s">
        <v>3867</v>
      </c>
      <c r="P21" s="2853" t="s">
        <v>3867</v>
      </c>
      <c r="Q21" s="3169">
        <v>43811.000497685185</v>
      </c>
      <c r="R21" s="2853" t="s">
        <v>3868</v>
      </c>
      <c r="S21" s="2853" t="s">
        <v>3933</v>
      </c>
      <c r="T21" s="2853" t="s">
        <v>3867</v>
      </c>
      <c r="U21" s="2853">
        <v>8080</v>
      </c>
      <c r="V21" s="2853">
        <v>1843.31</v>
      </c>
      <c r="W21" s="2853">
        <v>122.89</v>
      </c>
      <c r="X21" s="3170">
        <v>970</v>
      </c>
      <c r="Y21" s="2853" t="s">
        <v>3867</v>
      </c>
      <c r="Z21" s="2853">
        <v>0</v>
      </c>
      <c r="AA21" s="2853" t="s">
        <v>3871</v>
      </c>
      <c r="AB21" s="2853" t="s">
        <v>3867</v>
      </c>
      <c r="AC21" s="2853" t="s">
        <v>3867</v>
      </c>
      <c r="AD21" s="2853" t="s">
        <v>3867</v>
      </c>
      <c r="AE21" s="2853" t="s">
        <v>3867</v>
      </c>
      <c r="AF21" s="2853" t="s">
        <v>3917</v>
      </c>
      <c r="AG21" s="2853" t="s">
        <v>3873</v>
      </c>
      <c r="AH21" s="2853" t="s">
        <v>3874</v>
      </c>
    </row>
    <row r="22" spans="1:34" hidden="1">
      <c r="A22" s="2853" t="s">
        <v>3891</v>
      </c>
      <c r="B22" s="2853" t="s">
        <v>3857</v>
      </c>
      <c r="C22" s="2853" t="s">
        <v>3956</v>
      </c>
      <c r="D22" s="2853" t="s">
        <v>3859</v>
      </c>
      <c r="E22" s="2853" t="s">
        <v>3860</v>
      </c>
      <c r="F22" s="2853" t="s">
        <v>3957</v>
      </c>
      <c r="G22" s="2853" t="s">
        <v>3893</v>
      </c>
      <c r="H22" s="2853" t="s">
        <v>3862</v>
      </c>
      <c r="I22" s="2853">
        <v>138142.23000000001</v>
      </c>
      <c r="J22" s="2853">
        <v>262470.24</v>
      </c>
      <c r="K22" s="2853" t="s">
        <v>3908</v>
      </c>
      <c r="L22" s="2853" t="s">
        <v>3864</v>
      </c>
      <c r="M22" s="2853" t="s">
        <v>3931</v>
      </c>
      <c r="N22" s="2853" t="s">
        <v>3866</v>
      </c>
      <c r="O22" s="2853" t="s">
        <v>3867</v>
      </c>
      <c r="P22" s="2853" t="s">
        <v>3867</v>
      </c>
      <c r="Q22" s="3169">
        <v>43810.000497685185</v>
      </c>
      <c r="R22" s="2853" t="s">
        <v>3868</v>
      </c>
      <c r="S22" s="2853" t="s">
        <v>3958</v>
      </c>
      <c r="T22" s="2853" t="s">
        <v>3959</v>
      </c>
      <c r="U22" s="2853">
        <v>25486</v>
      </c>
      <c r="V22" s="2853">
        <v>1844.91</v>
      </c>
      <c r="W22" s="2853">
        <v>122.99</v>
      </c>
      <c r="X22" s="3170">
        <v>971</v>
      </c>
      <c r="Y22" s="2853" t="s">
        <v>3867</v>
      </c>
      <c r="Z22" s="2853">
        <v>0</v>
      </c>
      <c r="AA22" s="2853" t="s">
        <v>3871</v>
      </c>
      <c r="AB22" s="2853" t="s">
        <v>3867</v>
      </c>
      <c r="AC22" s="2853" t="s">
        <v>3867</v>
      </c>
      <c r="AD22" s="2853" t="s">
        <v>3867</v>
      </c>
      <c r="AE22" s="2853" t="s">
        <v>3867</v>
      </c>
      <c r="AF22" s="2853" t="s">
        <v>3917</v>
      </c>
      <c r="AG22" s="2853" t="s">
        <v>3873</v>
      </c>
      <c r="AH22" s="2853" t="s">
        <v>3874</v>
      </c>
    </row>
    <row r="23" spans="1:34" hidden="1">
      <c r="A23" s="2853" t="s">
        <v>3891</v>
      </c>
      <c r="B23" s="2853" t="s">
        <v>3857</v>
      </c>
      <c r="C23" s="2853" t="s">
        <v>3960</v>
      </c>
      <c r="D23" s="2853" t="s">
        <v>3859</v>
      </c>
      <c r="E23" s="2853" t="s">
        <v>3860</v>
      </c>
      <c r="F23" s="2853" t="s">
        <v>3860</v>
      </c>
      <c r="G23" s="2853" t="s">
        <v>3893</v>
      </c>
      <c r="H23" s="2853" t="s">
        <v>3862</v>
      </c>
      <c r="I23" s="2853">
        <v>39590.959999999999</v>
      </c>
      <c r="J23" s="2853">
        <v>75222.820000000007</v>
      </c>
      <c r="K23" s="2853" t="s">
        <v>3908</v>
      </c>
      <c r="L23" s="2853" t="s">
        <v>3864</v>
      </c>
      <c r="M23" s="2853" t="s">
        <v>3931</v>
      </c>
      <c r="N23" s="2853" t="s">
        <v>3866</v>
      </c>
      <c r="O23" s="2853" t="s">
        <v>3867</v>
      </c>
      <c r="P23" s="2853" t="s">
        <v>3867</v>
      </c>
      <c r="Q23" s="3169">
        <v>43755.000497685185</v>
      </c>
      <c r="R23" s="2853" t="s">
        <v>3868</v>
      </c>
      <c r="S23" s="2853" t="s">
        <v>3958</v>
      </c>
      <c r="T23" s="2853" t="s">
        <v>3867</v>
      </c>
      <c r="U23" s="2853">
        <v>7127</v>
      </c>
      <c r="V23" s="2853">
        <v>1800.15</v>
      </c>
      <c r="W23" s="2853">
        <v>120.01</v>
      </c>
      <c r="X23" s="3170">
        <v>947</v>
      </c>
      <c r="Y23" s="2853" t="s">
        <v>3867</v>
      </c>
      <c r="Z23" s="2853">
        <v>0</v>
      </c>
      <c r="AA23" s="2853" t="s">
        <v>3871</v>
      </c>
      <c r="AB23" s="2853" t="s">
        <v>3867</v>
      </c>
      <c r="AC23" s="2853" t="s">
        <v>3867</v>
      </c>
      <c r="AD23" s="2853" t="s">
        <v>3867</v>
      </c>
      <c r="AE23" s="2853" t="s">
        <v>3867</v>
      </c>
      <c r="AF23" s="2853" t="s">
        <v>3917</v>
      </c>
      <c r="AG23" s="2853" t="s">
        <v>3873</v>
      </c>
      <c r="AH23" s="2853" t="s">
        <v>3874</v>
      </c>
    </row>
    <row r="24" spans="1:34" hidden="1">
      <c r="A24" s="2853" t="s">
        <v>3961</v>
      </c>
      <c r="B24" s="2853" t="s">
        <v>3857</v>
      </c>
      <c r="C24" s="2853" t="s">
        <v>3962</v>
      </c>
      <c r="D24" s="2853" t="s">
        <v>3859</v>
      </c>
      <c r="E24" s="2853" t="s">
        <v>3860</v>
      </c>
      <c r="F24" s="2853" t="s">
        <v>3860</v>
      </c>
      <c r="G24" s="2853" t="s">
        <v>3963</v>
      </c>
      <c r="H24" s="2853" t="s">
        <v>3862</v>
      </c>
      <c r="I24" s="2853">
        <v>1511.04</v>
      </c>
      <c r="J24" s="2853">
        <v>2870.98</v>
      </c>
      <c r="K24" s="2853" t="s">
        <v>3908</v>
      </c>
      <c r="L24" s="2853" t="s">
        <v>3864</v>
      </c>
      <c r="M24" s="2853" t="s">
        <v>3931</v>
      </c>
      <c r="N24" s="2853" t="s">
        <v>3866</v>
      </c>
      <c r="O24" s="2853" t="s">
        <v>3867</v>
      </c>
      <c r="P24" s="2853" t="s">
        <v>3867</v>
      </c>
      <c r="Q24" s="3169">
        <v>43685.000497685185</v>
      </c>
      <c r="R24" s="2853" t="s">
        <v>3868</v>
      </c>
      <c r="S24" s="2853" t="s">
        <v>3939</v>
      </c>
      <c r="T24" s="2853" t="s">
        <v>3867</v>
      </c>
      <c r="U24" s="2853">
        <v>227</v>
      </c>
      <c r="V24" s="2853">
        <v>1502.27</v>
      </c>
      <c r="W24" s="2853">
        <v>100.15</v>
      </c>
      <c r="X24" s="3170">
        <v>791</v>
      </c>
      <c r="Y24" s="2853" t="s">
        <v>3867</v>
      </c>
      <c r="Z24" s="2853">
        <v>0</v>
      </c>
      <c r="AA24" s="2853" t="s">
        <v>3871</v>
      </c>
      <c r="AB24" s="2853" t="s">
        <v>3867</v>
      </c>
      <c r="AC24" s="2853" t="s">
        <v>3867</v>
      </c>
      <c r="AD24" s="2853" t="s">
        <v>3867</v>
      </c>
      <c r="AE24" s="2853" t="s">
        <v>3867</v>
      </c>
      <c r="AF24" s="2853" t="s">
        <v>3917</v>
      </c>
      <c r="AG24" s="2853" t="s">
        <v>3873</v>
      </c>
      <c r="AH24" s="2853" t="s">
        <v>3874</v>
      </c>
    </row>
    <row r="25" spans="1:34" hidden="1">
      <c r="A25" s="2853" t="s">
        <v>3961</v>
      </c>
      <c r="B25" s="2853" t="s">
        <v>3857</v>
      </c>
      <c r="C25" s="2853" t="s">
        <v>3964</v>
      </c>
      <c r="D25" s="2853" t="s">
        <v>3859</v>
      </c>
      <c r="E25" s="2853" t="s">
        <v>3860</v>
      </c>
      <c r="F25" s="2853" t="s">
        <v>3860</v>
      </c>
      <c r="G25" s="2853" t="s">
        <v>3963</v>
      </c>
      <c r="H25" s="2853" t="s">
        <v>3862</v>
      </c>
      <c r="I25" s="2853">
        <v>428.04</v>
      </c>
      <c r="J25" s="2853">
        <v>813.28</v>
      </c>
      <c r="K25" s="2853" t="s">
        <v>3908</v>
      </c>
      <c r="L25" s="2853" t="s">
        <v>3864</v>
      </c>
      <c r="M25" s="2853" t="s">
        <v>3931</v>
      </c>
      <c r="N25" s="2853" t="s">
        <v>3866</v>
      </c>
      <c r="O25" s="2853" t="s">
        <v>3867</v>
      </c>
      <c r="P25" s="2853" t="s">
        <v>3867</v>
      </c>
      <c r="Q25" s="3169">
        <v>43685.000497685185</v>
      </c>
      <c r="R25" s="2853" t="s">
        <v>3868</v>
      </c>
      <c r="S25" s="2853" t="s">
        <v>3939</v>
      </c>
      <c r="T25" s="2853" t="s">
        <v>3867</v>
      </c>
      <c r="U25" s="2853">
        <v>64</v>
      </c>
      <c r="V25" s="2853">
        <v>1495.18</v>
      </c>
      <c r="W25" s="2853">
        <v>99.68</v>
      </c>
      <c r="X25" s="3170">
        <v>787</v>
      </c>
      <c r="Y25" s="2853" t="s">
        <v>3867</v>
      </c>
      <c r="Z25" s="2853">
        <v>0</v>
      </c>
      <c r="AA25" s="2853" t="s">
        <v>3871</v>
      </c>
      <c r="AB25" s="2853" t="s">
        <v>3867</v>
      </c>
      <c r="AC25" s="2853" t="s">
        <v>3867</v>
      </c>
      <c r="AD25" s="2853" t="s">
        <v>3867</v>
      </c>
      <c r="AE25" s="2853" t="s">
        <v>3867</v>
      </c>
      <c r="AF25" s="2853" t="s">
        <v>3917</v>
      </c>
      <c r="AG25" s="2853" t="s">
        <v>3873</v>
      </c>
      <c r="AH25" s="2853" t="s">
        <v>3874</v>
      </c>
    </row>
    <row r="26" spans="1:34" hidden="1">
      <c r="A26" s="2853" t="s">
        <v>3961</v>
      </c>
      <c r="B26" s="2853" t="s">
        <v>3857</v>
      </c>
      <c r="C26" s="2853" t="s">
        <v>3965</v>
      </c>
      <c r="D26" s="2853" t="s">
        <v>3859</v>
      </c>
      <c r="E26" s="2853" t="s">
        <v>3860</v>
      </c>
      <c r="F26" s="2853" t="s">
        <v>3860</v>
      </c>
      <c r="G26" s="2853" t="s">
        <v>3963</v>
      </c>
      <c r="H26" s="2853" t="s">
        <v>3862</v>
      </c>
      <c r="I26" s="2853">
        <v>60.23</v>
      </c>
      <c r="J26" s="2853">
        <v>114.44</v>
      </c>
      <c r="K26" s="2853" t="s">
        <v>3908</v>
      </c>
      <c r="L26" s="2853" t="s">
        <v>3864</v>
      </c>
      <c r="M26" s="2853" t="s">
        <v>3931</v>
      </c>
      <c r="N26" s="2853" t="s">
        <v>3866</v>
      </c>
      <c r="O26" s="2853" t="s">
        <v>3867</v>
      </c>
      <c r="P26" s="2853" t="s">
        <v>3867</v>
      </c>
      <c r="Q26" s="3169">
        <v>43685.000497685185</v>
      </c>
      <c r="R26" s="2853" t="s">
        <v>3868</v>
      </c>
      <c r="S26" s="2853" t="s">
        <v>3939</v>
      </c>
      <c r="T26" s="2853" t="s">
        <v>3867</v>
      </c>
      <c r="U26" s="2853">
        <v>9</v>
      </c>
      <c r="V26" s="2853">
        <v>1494.27</v>
      </c>
      <c r="W26" s="2853">
        <v>99.62</v>
      </c>
      <c r="X26" s="3170">
        <v>786</v>
      </c>
      <c r="Y26" s="2853" t="s">
        <v>3867</v>
      </c>
      <c r="Z26" s="2853">
        <v>0</v>
      </c>
      <c r="AA26" s="2853" t="s">
        <v>3871</v>
      </c>
      <c r="AB26" s="2853" t="s">
        <v>3867</v>
      </c>
      <c r="AC26" s="2853" t="s">
        <v>3867</v>
      </c>
      <c r="AD26" s="2853" t="s">
        <v>3867</v>
      </c>
      <c r="AE26" s="2853" t="s">
        <v>3867</v>
      </c>
      <c r="AF26" s="2853" t="s">
        <v>3917</v>
      </c>
      <c r="AG26" s="2853" t="s">
        <v>3873</v>
      </c>
      <c r="AH26" s="2853" t="s">
        <v>3874</v>
      </c>
    </row>
    <row r="27" spans="1:34" s="3170" customFormat="1" hidden="1">
      <c r="A27" s="3170" t="s">
        <v>3886</v>
      </c>
      <c r="B27" s="3170" t="s">
        <v>3857</v>
      </c>
      <c r="C27" s="3170" t="s">
        <v>3966</v>
      </c>
      <c r="D27" s="3170" t="s">
        <v>3859</v>
      </c>
      <c r="E27" s="3170" t="s">
        <v>3860</v>
      </c>
      <c r="F27" s="3170" t="s">
        <v>3860</v>
      </c>
      <c r="G27" s="3170" t="s">
        <v>3888</v>
      </c>
      <c r="H27" s="3170" t="s">
        <v>3862</v>
      </c>
      <c r="I27" s="3170">
        <v>59935.17</v>
      </c>
      <c r="J27" s="3170">
        <v>119870.34</v>
      </c>
      <c r="K27" s="3170" t="s">
        <v>3967</v>
      </c>
      <c r="L27" s="3170" t="s">
        <v>3864</v>
      </c>
      <c r="M27" s="3170" t="s">
        <v>3931</v>
      </c>
      <c r="N27" s="3170" t="s">
        <v>3866</v>
      </c>
      <c r="O27" s="3170" t="s">
        <v>3867</v>
      </c>
      <c r="P27" s="3170" t="s">
        <v>3867</v>
      </c>
      <c r="Q27" s="3175">
        <v>43672.000497685185</v>
      </c>
      <c r="R27" s="3170" t="s">
        <v>3868</v>
      </c>
      <c r="S27" s="3170" t="s">
        <v>3946</v>
      </c>
      <c r="T27" s="3170" t="s">
        <v>3947</v>
      </c>
      <c r="U27" s="3170">
        <v>10788</v>
      </c>
      <c r="V27" s="3170">
        <v>1799.94</v>
      </c>
      <c r="W27" s="3170">
        <v>120</v>
      </c>
      <c r="X27" s="3170">
        <v>900</v>
      </c>
      <c r="Y27" s="3170" t="s">
        <v>3867</v>
      </c>
      <c r="Z27" s="3170">
        <v>0</v>
      </c>
      <c r="AA27" s="3170" t="s">
        <v>3871</v>
      </c>
      <c r="AB27" s="3170" t="s">
        <v>3867</v>
      </c>
      <c r="AC27" s="3170" t="s">
        <v>3867</v>
      </c>
      <c r="AD27" s="3170" t="s">
        <v>3867</v>
      </c>
      <c r="AE27" s="3170" t="s">
        <v>3867</v>
      </c>
      <c r="AF27" s="3170" t="s">
        <v>3917</v>
      </c>
      <c r="AG27" s="3170" t="s">
        <v>3873</v>
      </c>
      <c r="AH27" s="3170" t="s">
        <v>3874</v>
      </c>
    </row>
    <row r="28" spans="1:34" hidden="1">
      <c r="A28" s="2853" t="s">
        <v>3968</v>
      </c>
      <c r="B28" s="2853" t="s">
        <v>3857</v>
      </c>
      <c r="C28" s="2853" t="s">
        <v>3969</v>
      </c>
      <c r="D28" s="2853" t="s">
        <v>3859</v>
      </c>
      <c r="E28" s="2853" t="s">
        <v>3860</v>
      </c>
      <c r="F28" s="2853" t="s">
        <v>3860</v>
      </c>
      <c r="G28" s="2853" t="s">
        <v>3970</v>
      </c>
      <c r="H28" s="2853" t="s">
        <v>3862</v>
      </c>
      <c r="I28" s="2853">
        <v>27815.47</v>
      </c>
      <c r="J28" s="2853">
        <v>52849.39</v>
      </c>
      <c r="K28" s="2853" t="s">
        <v>3908</v>
      </c>
      <c r="L28" s="2853" t="s">
        <v>3864</v>
      </c>
      <c r="M28" s="2853" t="s">
        <v>3931</v>
      </c>
      <c r="N28" s="2853" t="s">
        <v>3866</v>
      </c>
      <c r="O28" s="2853" t="s">
        <v>3867</v>
      </c>
      <c r="P28" s="2853" t="s">
        <v>3867</v>
      </c>
      <c r="Q28" s="3169">
        <v>43626.000497685185</v>
      </c>
      <c r="R28" s="2853" t="s">
        <v>3868</v>
      </c>
      <c r="S28" s="2853" t="s">
        <v>3939</v>
      </c>
      <c r="T28" s="2853" t="s">
        <v>3867</v>
      </c>
      <c r="U28" s="2853">
        <v>4172</v>
      </c>
      <c r="V28" s="2853">
        <v>1499.88</v>
      </c>
      <c r="W28" s="2853">
        <v>99.99</v>
      </c>
      <c r="X28" s="3170">
        <v>789</v>
      </c>
      <c r="Y28" s="2853" t="s">
        <v>3867</v>
      </c>
      <c r="Z28" s="2853">
        <v>0</v>
      </c>
      <c r="AA28" s="2853" t="s">
        <v>3871</v>
      </c>
      <c r="AB28" s="2853" t="s">
        <v>3867</v>
      </c>
      <c r="AC28" s="2853" t="s">
        <v>3867</v>
      </c>
      <c r="AD28" s="2853" t="s">
        <v>3867</v>
      </c>
      <c r="AE28" s="2853" t="s">
        <v>3867</v>
      </c>
      <c r="AF28" s="2853" t="s">
        <v>3917</v>
      </c>
      <c r="AG28" s="2853" t="s">
        <v>3873</v>
      </c>
      <c r="AH28" s="2853" t="s">
        <v>3874</v>
      </c>
    </row>
    <row r="29" spans="1:34" hidden="1">
      <c r="A29" s="2853" t="s">
        <v>3971</v>
      </c>
      <c r="B29" s="2853" t="s">
        <v>3857</v>
      </c>
      <c r="C29" s="2853" t="s">
        <v>3972</v>
      </c>
      <c r="D29" s="2853" t="s">
        <v>3859</v>
      </c>
      <c r="E29" s="2853" t="s">
        <v>3860</v>
      </c>
      <c r="F29" s="2853" t="s">
        <v>3860</v>
      </c>
      <c r="G29" s="2853" t="s">
        <v>3973</v>
      </c>
      <c r="H29" s="2853" t="s">
        <v>3862</v>
      </c>
      <c r="I29" s="2853">
        <v>12845.09</v>
      </c>
      <c r="J29" s="2853">
        <v>24405.67</v>
      </c>
      <c r="K29" s="2853" t="s">
        <v>3908</v>
      </c>
      <c r="L29" s="2853" t="s">
        <v>3864</v>
      </c>
      <c r="M29" s="2853" t="s">
        <v>3931</v>
      </c>
      <c r="N29" s="2853" t="s">
        <v>3866</v>
      </c>
      <c r="O29" s="2853" t="s">
        <v>3867</v>
      </c>
      <c r="P29" s="2853" t="s">
        <v>3867</v>
      </c>
      <c r="Q29" s="3169">
        <v>43626.000497685185</v>
      </c>
      <c r="R29" s="2853" t="s">
        <v>3868</v>
      </c>
      <c r="S29" s="2853" t="s">
        <v>3939</v>
      </c>
      <c r="T29" s="2853" t="s">
        <v>3867</v>
      </c>
      <c r="U29" s="2853">
        <v>1927</v>
      </c>
      <c r="V29" s="2853">
        <v>1500.18</v>
      </c>
      <c r="W29" s="2853">
        <v>100.01</v>
      </c>
      <c r="X29" s="3170">
        <v>790</v>
      </c>
      <c r="Y29" s="2853" t="s">
        <v>3867</v>
      </c>
      <c r="Z29" s="2853">
        <v>0</v>
      </c>
      <c r="AA29" s="2853" t="s">
        <v>3871</v>
      </c>
      <c r="AB29" s="2853" t="s">
        <v>3867</v>
      </c>
      <c r="AC29" s="2853" t="s">
        <v>3867</v>
      </c>
      <c r="AD29" s="2853" t="s">
        <v>3867</v>
      </c>
      <c r="AE29" s="2853" t="s">
        <v>3867</v>
      </c>
      <c r="AF29" s="2853" t="s">
        <v>3917</v>
      </c>
      <c r="AG29" s="2853" t="s">
        <v>3873</v>
      </c>
      <c r="AH29" s="2853" t="s">
        <v>3874</v>
      </c>
    </row>
    <row r="30" spans="1:34" hidden="1">
      <c r="A30" s="2853" t="s">
        <v>3896</v>
      </c>
      <c r="B30" s="2853" t="s">
        <v>3857</v>
      </c>
      <c r="C30" s="2853" t="s">
        <v>3974</v>
      </c>
      <c r="D30" s="2853" t="s">
        <v>3859</v>
      </c>
      <c r="E30" s="2853" t="s">
        <v>3860</v>
      </c>
      <c r="F30" s="2853" t="s">
        <v>3860</v>
      </c>
      <c r="G30" s="2853" t="s">
        <v>3898</v>
      </c>
      <c r="H30" s="2853" t="s">
        <v>3862</v>
      </c>
      <c r="I30" s="2853">
        <v>48702.09</v>
      </c>
      <c r="J30" s="2853">
        <v>77923.34</v>
      </c>
      <c r="K30" s="2853" t="s">
        <v>3975</v>
      </c>
      <c r="L30" s="2853" t="s">
        <v>3864</v>
      </c>
      <c r="M30" s="2853" t="s">
        <v>3931</v>
      </c>
      <c r="N30" s="2853" t="s">
        <v>3866</v>
      </c>
      <c r="O30" s="2853" t="s">
        <v>3867</v>
      </c>
      <c r="P30" s="2853" t="s">
        <v>3867</v>
      </c>
      <c r="Q30" s="3169">
        <v>43609.000497685185</v>
      </c>
      <c r="R30" s="2853" t="s">
        <v>3868</v>
      </c>
      <c r="S30" s="2853" t="s">
        <v>3976</v>
      </c>
      <c r="T30" s="2853" t="s">
        <v>3977</v>
      </c>
      <c r="U30" s="2853">
        <v>11688</v>
      </c>
      <c r="V30" s="2853">
        <v>2399.89</v>
      </c>
      <c r="W30" s="2853">
        <v>159.99</v>
      </c>
      <c r="X30" s="3170">
        <v>1500</v>
      </c>
      <c r="Y30" s="2853" t="s">
        <v>3867</v>
      </c>
      <c r="Z30" s="2853">
        <v>0</v>
      </c>
      <c r="AA30" s="2853" t="s">
        <v>3871</v>
      </c>
      <c r="AB30" s="2853" t="s">
        <v>3867</v>
      </c>
      <c r="AC30" s="2853" t="s">
        <v>3867</v>
      </c>
      <c r="AD30" s="2853" t="s">
        <v>3867</v>
      </c>
      <c r="AE30" s="2853" t="s">
        <v>3867</v>
      </c>
      <c r="AF30" s="2853" t="s">
        <v>3917</v>
      </c>
      <c r="AG30" s="2853" t="s">
        <v>3873</v>
      </c>
      <c r="AH30" s="2853" t="s">
        <v>3874</v>
      </c>
    </row>
    <row r="31" spans="1:34" hidden="1">
      <c r="A31" s="2853" t="s">
        <v>3886</v>
      </c>
      <c r="B31" s="2853" t="s">
        <v>3857</v>
      </c>
      <c r="C31" s="2853" t="s">
        <v>3978</v>
      </c>
      <c r="D31" s="2853" t="s">
        <v>3859</v>
      </c>
      <c r="E31" s="2853" t="s">
        <v>3860</v>
      </c>
      <c r="F31" s="2853" t="s">
        <v>3860</v>
      </c>
      <c r="G31" s="2853" t="s">
        <v>3888</v>
      </c>
      <c r="H31" s="2853" t="s">
        <v>3862</v>
      </c>
      <c r="I31" s="2853">
        <v>27381.34</v>
      </c>
      <c r="J31" s="2853">
        <v>52024.55</v>
      </c>
      <c r="K31" s="2853" t="s">
        <v>3979</v>
      </c>
      <c r="L31" s="2853" t="s">
        <v>3879</v>
      </c>
      <c r="M31" s="2853" t="s">
        <v>3931</v>
      </c>
      <c r="N31" s="2853" t="s">
        <v>3866</v>
      </c>
      <c r="O31" s="2853" t="s">
        <v>3867</v>
      </c>
      <c r="P31" s="2853" t="s">
        <v>3867</v>
      </c>
      <c r="Q31" s="3169">
        <v>43518.000497685185</v>
      </c>
      <c r="R31" s="2853" t="s">
        <v>3868</v>
      </c>
      <c r="S31" s="2853" t="s">
        <v>3980</v>
      </c>
      <c r="T31" s="2853" t="s">
        <v>3867</v>
      </c>
      <c r="U31" s="2853">
        <v>4930</v>
      </c>
      <c r="V31" s="2853">
        <v>1800.49</v>
      </c>
      <c r="W31" s="2853">
        <v>120.03</v>
      </c>
      <c r="X31" s="3170">
        <v>948</v>
      </c>
      <c r="Y31" s="2853" t="s">
        <v>3867</v>
      </c>
      <c r="Z31" s="2853">
        <v>0</v>
      </c>
      <c r="AA31" s="2853" t="s">
        <v>3871</v>
      </c>
      <c r="AB31" s="2853" t="s">
        <v>3867</v>
      </c>
      <c r="AC31" s="2853" t="s">
        <v>3867</v>
      </c>
      <c r="AD31" s="2853" t="s">
        <v>3867</v>
      </c>
      <c r="AE31" s="2853" t="s">
        <v>3867</v>
      </c>
      <c r="AF31" s="2853" t="s">
        <v>3917</v>
      </c>
      <c r="AG31" s="2853" t="s">
        <v>3873</v>
      </c>
      <c r="AH31" s="2853" t="s">
        <v>3874</v>
      </c>
    </row>
    <row r="32" spans="1:34" hidden="1">
      <c r="A32" s="2853" t="s">
        <v>3981</v>
      </c>
      <c r="B32" s="2853" t="s">
        <v>3857</v>
      </c>
      <c r="C32" s="2853" t="s">
        <v>3982</v>
      </c>
      <c r="D32" s="2853" t="s">
        <v>3859</v>
      </c>
      <c r="E32" s="2853" t="s">
        <v>3860</v>
      </c>
      <c r="F32" s="2853" t="s">
        <v>3860</v>
      </c>
      <c r="G32" s="2853" t="s">
        <v>3983</v>
      </c>
      <c r="H32" s="2853" t="s">
        <v>3862</v>
      </c>
      <c r="I32" s="2853">
        <v>20078.830000000002</v>
      </c>
      <c r="J32" s="2853">
        <v>30118.25</v>
      </c>
      <c r="K32" s="2853" t="s">
        <v>3984</v>
      </c>
      <c r="L32" s="2853" t="s">
        <v>3879</v>
      </c>
      <c r="M32" s="2853" t="s">
        <v>3931</v>
      </c>
      <c r="N32" s="2853" t="s">
        <v>3866</v>
      </c>
      <c r="O32" s="2853" t="s">
        <v>3867</v>
      </c>
      <c r="P32" s="2853" t="s">
        <v>3867</v>
      </c>
      <c r="Q32" s="3169">
        <v>43518.000497685185</v>
      </c>
      <c r="R32" s="2853" t="s">
        <v>3868</v>
      </c>
      <c r="S32" s="2853" t="s">
        <v>3985</v>
      </c>
      <c r="T32" s="2853" t="s">
        <v>3867</v>
      </c>
      <c r="U32" s="2853">
        <v>3012</v>
      </c>
      <c r="V32" s="2853">
        <v>1500.08</v>
      </c>
      <c r="W32" s="2853">
        <v>100.01</v>
      </c>
      <c r="X32" s="3170">
        <v>1000</v>
      </c>
      <c r="Y32" s="2853" t="s">
        <v>3867</v>
      </c>
      <c r="Z32" s="2853">
        <v>0</v>
      </c>
      <c r="AA32" s="2853" t="s">
        <v>3871</v>
      </c>
      <c r="AB32" s="2853" t="s">
        <v>3867</v>
      </c>
      <c r="AC32" s="2853" t="s">
        <v>3867</v>
      </c>
      <c r="AD32" s="2853" t="s">
        <v>3867</v>
      </c>
      <c r="AE32" s="2853" t="s">
        <v>3867</v>
      </c>
      <c r="AF32" s="2853" t="s">
        <v>3917</v>
      </c>
      <c r="AG32" s="2853" t="s">
        <v>3873</v>
      </c>
      <c r="AH32" s="2853" t="s">
        <v>3874</v>
      </c>
    </row>
    <row r="33" spans="1:34" hidden="1">
      <c r="A33" s="2853" t="s">
        <v>3986</v>
      </c>
      <c r="B33" s="2853" t="s">
        <v>3857</v>
      </c>
      <c r="C33" s="2853" t="s">
        <v>3987</v>
      </c>
      <c r="D33" s="2853" t="s">
        <v>3859</v>
      </c>
      <c r="E33" s="2853" t="s">
        <v>3860</v>
      </c>
      <c r="F33" s="2853" t="s">
        <v>3860</v>
      </c>
      <c r="G33" s="2853" t="s">
        <v>3988</v>
      </c>
      <c r="H33" s="2853" t="s">
        <v>3862</v>
      </c>
      <c r="I33" s="2853">
        <v>66135.37</v>
      </c>
      <c r="J33" s="2853">
        <v>125657.2</v>
      </c>
      <c r="K33" s="2853" t="s">
        <v>3979</v>
      </c>
      <c r="L33" s="2853" t="s">
        <v>3879</v>
      </c>
      <c r="M33" s="2853" t="s">
        <v>3931</v>
      </c>
      <c r="N33" s="2853" t="s">
        <v>3866</v>
      </c>
      <c r="O33" s="2853" t="s">
        <v>3867</v>
      </c>
      <c r="P33" s="2853" t="s">
        <v>3867</v>
      </c>
      <c r="Q33" s="3169">
        <v>43518.000497685185</v>
      </c>
      <c r="R33" s="2853" t="s">
        <v>3868</v>
      </c>
      <c r="S33" s="2853" t="s">
        <v>3989</v>
      </c>
      <c r="T33" s="2853" t="s">
        <v>3990</v>
      </c>
      <c r="U33" s="2853">
        <v>14585</v>
      </c>
      <c r="V33" s="2853">
        <v>2205.3200000000002</v>
      </c>
      <c r="W33" s="2853">
        <v>147.02000000000001</v>
      </c>
      <c r="X33" s="3170">
        <v>1161</v>
      </c>
      <c r="Y33" s="2853" t="s">
        <v>3867</v>
      </c>
      <c r="Z33" s="2853">
        <v>0</v>
      </c>
      <c r="AA33" s="2853" t="s">
        <v>3871</v>
      </c>
      <c r="AB33" s="2853" t="s">
        <v>3867</v>
      </c>
      <c r="AC33" s="2853" t="s">
        <v>3867</v>
      </c>
      <c r="AD33" s="2853" t="s">
        <v>3867</v>
      </c>
      <c r="AE33" s="2853" t="s">
        <v>3867</v>
      </c>
      <c r="AF33" s="2853" t="s">
        <v>3917</v>
      </c>
      <c r="AG33" s="2853" t="s">
        <v>3873</v>
      </c>
      <c r="AH33" s="2853" t="s">
        <v>3874</v>
      </c>
    </row>
    <row r="34" spans="1:34" hidden="1">
      <c r="A34" s="2853" t="s">
        <v>3991</v>
      </c>
      <c r="B34" s="2853" t="s">
        <v>3857</v>
      </c>
      <c r="C34" s="2853" t="s">
        <v>3992</v>
      </c>
      <c r="D34" s="2853" t="s">
        <v>3859</v>
      </c>
      <c r="E34" s="2853" t="s">
        <v>3860</v>
      </c>
      <c r="F34" s="2853" t="s">
        <v>3860</v>
      </c>
      <c r="G34" s="2853" t="s">
        <v>3993</v>
      </c>
      <c r="H34" s="2853" t="s">
        <v>3862</v>
      </c>
      <c r="I34" s="2853">
        <v>6287.37</v>
      </c>
      <c r="J34" s="2853">
        <v>15089.69</v>
      </c>
      <c r="K34" s="2853" t="s">
        <v>3930</v>
      </c>
      <c r="L34" s="2853" t="s">
        <v>3864</v>
      </c>
      <c r="M34" s="2853" t="s">
        <v>3994</v>
      </c>
      <c r="N34" s="2853" t="s">
        <v>3866</v>
      </c>
      <c r="O34" s="2853" t="s">
        <v>3867</v>
      </c>
      <c r="P34" s="2853" t="s">
        <v>3867</v>
      </c>
      <c r="Q34" s="3169">
        <v>43493.000497685185</v>
      </c>
      <c r="R34" s="2853" t="s">
        <v>3868</v>
      </c>
      <c r="S34" s="2853" t="s">
        <v>3995</v>
      </c>
      <c r="T34" s="2853" t="s">
        <v>3867</v>
      </c>
      <c r="U34" s="2853">
        <v>1132</v>
      </c>
      <c r="V34" s="2853">
        <v>1800.43</v>
      </c>
      <c r="W34" s="2853">
        <v>120.03</v>
      </c>
      <c r="X34" s="3170">
        <v>750</v>
      </c>
      <c r="Y34" s="2853" t="s">
        <v>3867</v>
      </c>
      <c r="Z34" s="2853">
        <v>0</v>
      </c>
      <c r="AA34" s="2853" t="s">
        <v>3871</v>
      </c>
      <c r="AB34" s="2853" t="s">
        <v>3867</v>
      </c>
      <c r="AC34" s="2853" t="s">
        <v>3867</v>
      </c>
      <c r="AD34" s="2853" t="s">
        <v>3867</v>
      </c>
      <c r="AE34" s="2853" t="s">
        <v>3867</v>
      </c>
      <c r="AF34" s="2853" t="s">
        <v>3917</v>
      </c>
      <c r="AG34" s="2853" t="s">
        <v>3873</v>
      </c>
      <c r="AH34" s="2853" t="s">
        <v>3874</v>
      </c>
    </row>
    <row r="35" spans="1:34" hidden="1">
      <c r="A35" s="2853" t="s">
        <v>3996</v>
      </c>
      <c r="B35" s="2853" t="s">
        <v>3857</v>
      </c>
      <c r="C35" s="2853" t="s">
        <v>3997</v>
      </c>
      <c r="D35" s="2853" t="s">
        <v>3859</v>
      </c>
      <c r="E35" s="2853" t="s">
        <v>3860</v>
      </c>
      <c r="F35" s="2853" t="s">
        <v>3860</v>
      </c>
      <c r="G35" s="2853" t="s">
        <v>3998</v>
      </c>
      <c r="H35" s="2853" t="s">
        <v>3862</v>
      </c>
      <c r="I35" s="2853">
        <v>923.49</v>
      </c>
      <c r="J35" s="2853">
        <v>1846.98</v>
      </c>
      <c r="K35" s="2853" t="s">
        <v>3967</v>
      </c>
      <c r="L35" s="2853" t="s">
        <v>3864</v>
      </c>
      <c r="M35" s="2853" t="s">
        <v>3994</v>
      </c>
      <c r="N35" s="2853" t="s">
        <v>3866</v>
      </c>
      <c r="O35" s="2853" t="s">
        <v>3867</v>
      </c>
      <c r="P35" s="2853" t="s">
        <v>3867</v>
      </c>
      <c r="Q35" s="3169">
        <v>43472.000497685185</v>
      </c>
      <c r="R35" s="2853" t="s">
        <v>3868</v>
      </c>
      <c r="S35" s="2853" t="s">
        <v>3999</v>
      </c>
      <c r="T35" s="2853" t="s">
        <v>3867</v>
      </c>
      <c r="U35" s="2853">
        <v>115</v>
      </c>
      <c r="V35" s="2853">
        <v>1245.27</v>
      </c>
      <c r="W35" s="2853">
        <v>83.02</v>
      </c>
      <c r="X35" s="3170">
        <v>623</v>
      </c>
      <c r="Y35" s="2853" t="s">
        <v>3867</v>
      </c>
      <c r="Z35" s="2853">
        <v>0</v>
      </c>
      <c r="AA35" s="2853" t="s">
        <v>3871</v>
      </c>
      <c r="AB35" s="2853" t="s">
        <v>3867</v>
      </c>
      <c r="AC35" s="2853" t="s">
        <v>3867</v>
      </c>
      <c r="AD35" s="2853" t="s">
        <v>3867</v>
      </c>
      <c r="AE35" s="2853" t="s">
        <v>3867</v>
      </c>
      <c r="AF35" s="2853" t="s">
        <v>3917</v>
      </c>
      <c r="AG35" s="2853" t="s">
        <v>3873</v>
      </c>
      <c r="AH35" s="2853" t="s">
        <v>3874</v>
      </c>
    </row>
    <row r="36" spans="1:34" hidden="1">
      <c r="A36" s="2853" t="s">
        <v>4000</v>
      </c>
      <c r="B36" s="2853" t="s">
        <v>3857</v>
      </c>
      <c r="C36" s="2853" t="s">
        <v>4001</v>
      </c>
      <c r="D36" s="2853" t="s">
        <v>3859</v>
      </c>
      <c r="E36" s="2853" t="s">
        <v>3860</v>
      </c>
      <c r="F36" s="2853" t="s">
        <v>3860</v>
      </c>
      <c r="G36" s="2853" t="s">
        <v>4002</v>
      </c>
      <c r="H36" s="2853" t="s">
        <v>3862</v>
      </c>
      <c r="I36" s="2853">
        <v>50051.15</v>
      </c>
      <c r="J36" s="2853">
        <v>120122.8</v>
      </c>
      <c r="K36" s="2853" t="s">
        <v>3930</v>
      </c>
      <c r="L36" s="2853" t="s">
        <v>3864</v>
      </c>
      <c r="M36" s="2853" t="s">
        <v>4003</v>
      </c>
      <c r="N36" s="2853" t="s">
        <v>3866</v>
      </c>
      <c r="O36" s="2853" t="s">
        <v>3867</v>
      </c>
      <c r="P36" s="2853" t="s">
        <v>3867</v>
      </c>
      <c r="Q36" s="3169">
        <v>43448.000497685185</v>
      </c>
      <c r="R36" s="2853" t="s">
        <v>3868</v>
      </c>
      <c r="S36" s="2853" t="s">
        <v>4004</v>
      </c>
      <c r="T36" s="2853" t="s">
        <v>4005</v>
      </c>
      <c r="U36" s="2853">
        <v>30510.22</v>
      </c>
      <c r="V36" s="2853">
        <v>6095.8</v>
      </c>
      <c r="W36" s="2853">
        <v>406.39</v>
      </c>
      <c r="X36" s="3170">
        <v>2540</v>
      </c>
      <c r="Y36" s="2853" t="s">
        <v>3867</v>
      </c>
      <c r="Z36" s="2853">
        <v>0</v>
      </c>
      <c r="AA36" s="2853" t="s">
        <v>3871</v>
      </c>
      <c r="AB36" s="2853" t="s">
        <v>3867</v>
      </c>
      <c r="AC36" s="2853" t="s">
        <v>3867</v>
      </c>
      <c r="AD36" s="2853" t="s">
        <v>3867</v>
      </c>
      <c r="AE36" s="2853" t="s">
        <v>3867</v>
      </c>
      <c r="AF36" s="2853" t="s">
        <v>3917</v>
      </c>
      <c r="AG36" s="2853" t="s">
        <v>3873</v>
      </c>
      <c r="AH36" s="2853" t="s">
        <v>3874</v>
      </c>
    </row>
    <row r="37" spans="1:34" hidden="1">
      <c r="A37" s="2853" t="s">
        <v>4006</v>
      </c>
      <c r="B37" s="2853" t="s">
        <v>3857</v>
      </c>
      <c r="C37" s="2853" t="s">
        <v>4007</v>
      </c>
      <c r="D37" s="2853" t="s">
        <v>3859</v>
      </c>
      <c r="E37" s="2853" t="s">
        <v>3860</v>
      </c>
      <c r="F37" s="2853" t="s">
        <v>4008</v>
      </c>
      <c r="G37" s="2853" t="s">
        <v>4009</v>
      </c>
      <c r="H37" s="2853" t="s">
        <v>4010</v>
      </c>
      <c r="I37" s="2853">
        <v>48922.6</v>
      </c>
      <c r="J37" s="2853">
        <v>97845.2</v>
      </c>
      <c r="K37" s="2853" t="s">
        <v>3967</v>
      </c>
      <c r="L37" s="2853" t="s">
        <v>3864</v>
      </c>
      <c r="M37" s="2853" t="s">
        <v>3994</v>
      </c>
      <c r="N37" s="2853" t="s">
        <v>3866</v>
      </c>
      <c r="O37" s="2853" t="s">
        <v>3867</v>
      </c>
      <c r="P37" s="2853" t="s">
        <v>3867</v>
      </c>
      <c r="Q37" s="3169">
        <v>43446.000497685185</v>
      </c>
      <c r="R37" s="2853" t="s">
        <v>3868</v>
      </c>
      <c r="S37" s="2853" t="s">
        <v>4011</v>
      </c>
      <c r="T37" s="2853" t="s">
        <v>3867</v>
      </c>
      <c r="U37" s="2853">
        <v>2468.64</v>
      </c>
      <c r="V37" s="2853">
        <v>504.6</v>
      </c>
      <c r="W37" s="2853">
        <v>33.64</v>
      </c>
      <c r="X37" s="3170">
        <v>252</v>
      </c>
      <c r="Y37" s="2853" t="s">
        <v>3867</v>
      </c>
      <c r="Z37" s="2853">
        <v>0</v>
      </c>
      <c r="AA37" s="2853" t="s">
        <v>3871</v>
      </c>
      <c r="AB37" s="2853" t="s">
        <v>3867</v>
      </c>
      <c r="AC37" s="2853" t="s">
        <v>3867</v>
      </c>
      <c r="AD37" s="2853" t="s">
        <v>3867</v>
      </c>
      <c r="AE37" s="2853" t="s">
        <v>3867</v>
      </c>
      <c r="AF37" s="2853" t="s">
        <v>3917</v>
      </c>
      <c r="AG37" s="2853" t="s">
        <v>3873</v>
      </c>
      <c r="AH37" s="2853" t="s">
        <v>3874</v>
      </c>
    </row>
    <row r="38" spans="1:34" hidden="1">
      <c r="A38" s="2853" t="s">
        <v>4012</v>
      </c>
      <c r="B38" s="2853" t="s">
        <v>3857</v>
      </c>
      <c r="C38" s="2853" t="s">
        <v>4013</v>
      </c>
      <c r="D38" s="2853" t="s">
        <v>3859</v>
      </c>
      <c r="E38" s="2853" t="s">
        <v>3860</v>
      </c>
      <c r="F38" s="2853" t="s">
        <v>3860</v>
      </c>
      <c r="G38" s="2853" t="s">
        <v>4014</v>
      </c>
      <c r="H38" s="2853" t="s">
        <v>3862</v>
      </c>
      <c r="I38" s="2853">
        <v>39901.35</v>
      </c>
      <c r="J38" s="2853">
        <v>59852.03</v>
      </c>
      <c r="K38" s="2853" t="s">
        <v>4015</v>
      </c>
      <c r="L38" s="2853" t="s">
        <v>3864</v>
      </c>
      <c r="M38" s="2853" t="s">
        <v>3994</v>
      </c>
      <c r="N38" s="2853" t="s">
        <v>3866</v>
      </c>
      <c r="O38" s="2853" t="s">
        <v>3867</v>
      </c>
      <c r="P38" s="2853" t="s">
        <v>3867</v>
      </c>
      <c r="Q38" s="3169">
        <v>43437.000497685185</v>
      </c>
      <c r="R38" s="2853" t="s">
        <v>3868</v>
      </c>
      <c r="S38" s="2853" t="s">
        <v>4016</v>
      </c>
      <c r="T38" s="2853" t="s">
        <v>4017</v>
      </c>
      <c r="U38" s="2853">
        <v>4788</v>
      </c>
      <c r="V38" s="2853">
        <v>1199.95</v>
      </c>
      <c r="W38" s="2853">
        <v>80</v>
      </c>
      <c r="X38" s="3170">
        <v>800</v>
      </c>
      <c r="Y38" s="2853" t="s">
        <v>3867</v>
      </c>
      <c r="Z38" s="2853">
        <v>0</v>
      </c>
      <c r="AA38" s="2853" t="s">
        <v>3871</v>
      </c>
      <c r="AB38" s="2853" t="s">
        <v>3867</v>
      </c>
      <c r="AC38" s="2853" t="s">
        <v>3867</v>
      </c>
      <c r="AD38" s="2853" t="s">
        <v>3867</v>
      </c>
      <c r="AE38" s="2853" t="s">
        <v>3867</v>
      </c>
      <c r="AF38" s="2853" t="s">
        <v>3917</v>
      </c>
      <c r="AG38" s="2853" t="s">
        <v>3873</v>
      </c>
      <c r="AH38" s="2853" t="s">
        <v>3874</v>
      </c>
    </row>
    <row r="39" spans="1:34" hidden="1">
      <c r="A39" s="2853" t="s">
        <v>4018</v>
      </c>
      <c r="B39" s="2853" t="s">
        <v>3857</v>
      </c>
      <c r="C39" s="2853" t="s">
        <v>4019</v>
      </c>
      <c r="D39" s="2853" t="s">
        <v>3859</v>
      </c>
      <c r="E39" s="2853" t="s">
        <v>3860</v>
      </c>
      <c r="F39" s="2853" t="s">
        <v>3860</v>
      </c>
      <c r="G39" s="2853" t="s">
        <v>4020</v>
      </c>
      <c r="H39" s="2853" t="s">
        <v>3862</v>
      </c>
      <c r="I39" s="2853">
        <v>17401.810000000001</v>
      </c>
      <c r="J39" s="2853">
        <v>34803.620000000003</v>
      </c>
      <c r="K39" s="2853" t="s">
        <v>3967</v>
      </c>
      <c r="L39" s="2853" t="s">
        <v>3864</v>
      </c>
      <c r="M39" s="2853" t="s">
        <v>3994</v>
      </c>
      <c r="N39" s="2853" t="s">
        <v>3866</v>
      </c>
      <c r="O39" s="2853" t="s">
        <v>3867</v>
      </c>
      <c r="P39" s="2853" t="s">
        <v>3867</v>
      </c>
      <c r="Q39" s="3169">
        <v>43384.000497685185</v>
      </c>
      <c r="R39" s="2853" t="s">
        <v>3868</v>
      </c>
      <c r="S39" s="2853" t="s">
        <v>4021</v>
      </c>
      <c r="T39" s="2853" t="s">
        <v>4022</v>
      </c>
      <c r="U39" s="2853">
        <v>4698</v>
      </c>
      <c r="V39" s="2853">
        <v>2699.71</v>
      </c>
      <c r="W39" s="2853">
        <v>179.98</v>
      </c>
      <c r="X39" s="3170">
        <v>1350</v>
      </c>
      <c r="Y39" s="2853" t="s">
        <v>3867</v>
      </c>
      <c r="Z39" s="2853">
        <v>0</v>
      </c>
      <c r="AA39" s="2853" t="s">
        <v>3871</v>
      </c>
      <c r="AB39" s="2853" t="s">
        <v>3867</v>
      </c>
      <c r="AC39" s="2853" t="s">
        <v>3867</v>
      </c>
      <c r="AD39" s="2853" t="s">
        <v>3867</v>
      </c>
      <c r="AE39" s="2853" t="s">
        <v>3867</v>
      </c>
      <c r="AF39" s="2853" t="s">
        <v>3917</v>
      </c>
      <c r="AG39" s="2853" t="s">
        <v>3873</v>
      </c>
      <c r="AH39" s="2853" t="s">
        <v>3874</v>
      </c>
    </row>
    <row r="40" spans="1:34" hidden="1">
      <c r="A40" s="2853" t="s">
        <v>4023</v>
      </c>
      <c r="B40" s="2853" t="s">
        <v>3857</v>
      </c>
      <c r="C40" s="2853" t="s">
        <v>4024</v>
      </c>
      <c r="D40" s="2853" t="s">
        <v>3859</v>
      </c>
      <c r="E40" s="2853" t="s">
        <v>3860</v>
      </c>
      <c r="F40" s="2853" t="s">
        <v>3860</v>
      </c>
      <c r="G40" s="2853" t="s">
        <v>4025</v>
      </c>
      <c r="H40" s="2853" t="s">
        <v>3862</v>
      </c>
      <c r="I40" s="2853">
        <v>4952.92</v>
      </c>
      <c r="J40" s="2853">
        <v>7429.38</v>
      </c>
      <c r="K40" s="2853" t="s">
        <v>4015</v>
      </c>
      <c r="L40" s="2853" t="s">
        <v>4026</v>
      </c>
      <c r="M40" s="2853" t="s">
        <v>3994</v>
      </c>
      <c r="N40" s="2853" t="s">
        <v>3866</v>
      </c>
      <c r="O40" s="2853" t="s">
        <v>3867</v>
      </c>
      <c r="P40" s="2853" t="s">
        <v>3867</v>
      </c>
      <c r="Q40" s="3169">
        <v>43294.000497685185</v>
      </c>
      <c r="R40" s="2853" t="s">
        <v>3868</v>
      </c>
      <c r="S40" s="2853" t="s">
        <v>3985</v>
      </c>
      <c r="T40" s="2853" t="s">
        <v>3867</v>
      </c>
      <c r="U40" s="2853">
        <v>564</v>
      </c>
      <c r="V40" s="2853">
        <v>1138.72</v>
      </c>
      <c r="W40" s="2853">
        <v>75.91</v>
      </c>
      <c r="X40" s="3170">
        <v>759</v>
      </c>
      <c r="Y40" s="2853" t="s">
        <v>3867</v>
      </c>
      <c r="Z40" s="2853">
        <v>0</v>
      </c>
      <c r="AA40" s="2853" t="s">
        <v>3871</v>
      </c>
      <c r="AB40" s="2853" t="s">
        <v>3867</v>
      </c>
      <c r="AC40" s="2853" t="s">
        <v>3867</v>
      </c>
      <c r="AD40" s="2853" t="s">
        <v>3867</v>
      </c>
      <c r="AE40" s="2853" t="s">
        <v>3867</v>
      </c>
      <c r="AF40" s="2853" t="s">
        <v>3917</v>
      </c>
      <c r="AG40" s="2853" t="s">
        <v>3873</v>
      </c>
      <c r="AH40" s="2853" t="s">
        <v>3874</v>
      </c>
    </row>
    <row r="41" spans="1:34" hidden="1">
      <c r="A41" s="2853" t="s">
        <v>3991</v>
      </c>
      <c r="B41" s="2853" t="s">
        <v>3857</v>
      </c>
      <c r="C41" s="2853" t="s">
        <v>4027</v>
      </c>
      <c r="D41" s="2853" t="s">
        <v>3859</v>
      </c>
      <c r="E41" s="2853" t="s">
        <v>3860</v>
      </c>
      <c r="F41" s="2853" t="s">
        <v>3860</v>
      </c>
      <c r="G41" s="2853" t="s">
        <v>3993</v>
      </c>
      <c r="H41" s="2853" t="s">
        <v>3862</v>
      </c>
      <c r="I41" s="2853">
        <v>10370.700000000001</v>
      </c>
      <c r="J41" s="2853">
        <v>24889.68</v>
      </c>
      <c r="K41" s="2853" t="s">
        <v>3930</v>
      </c>
      <c r="L41" s="2853" t="s">
        <v>3864</v>
      </c>
      <c r="M41" s="2853" t="s">
        <v>3994</v>
      </c>
      <c r="N41" s="2853" t="s">
        <v>3866</v>
      </c>
      <c r="O41" s="2853" t="s">
        <v>3867</v>
      </c>
      <c r="P41" s="2853" t="s">
        <v>3867</v>
      </c>
      <c r="Q41" s="3169">
        <v>43307.000497685185</v>
      </c>
      <c r="R41" s="2853" t="s">
        <v>3868</v>
      </c>
      <c r="S41" s="2853" t="s">
        <v>3995</v>
      </c>
      <c r="T41" s="2853" t="s">
        <v>3867</v>
      </c>
      <c r="U41" s="2853">
        <v>1867</v>
      </c>
      <c r="V41" s="2853">
        <v>1800.26</v>
      </c>
      <c r="W41" s="2853">
        <v>120.02</v>
      </c>
      <c r="X41" s="3170">
        <v>750</v>
      </c>
      <c r="Y41" s="2853" t="s">
        <v>3867</v>
      </c>
      <c r="Z41" s="2853">
        <v>0</v>
      </c>
      <c r="AA41" s="2853" t="s">
        <v>3871</v>
      </c>
      <c r="AB41" s="2853" t="s">
        <v>3867</v>
      </c>
      <c r="AC41" s="2853" t="s">
        <v>3867</v>
      </c>
      <c r="AD41" s="2853" t="s">
        <v>3867</v>
      </c>
      <c r="AE41" s="2853" t="s">
        <v>3867</v>
      </c>
      <c r="AF41" s="2853" t="s">
        <v>3917</v>
      </c>
      <c r="AG41" s="2853" t="s">
        <v>3873</v>
      </c>
      <c r="AH41" s="2853" t="s">
        <v>3874</v>
      </c>
    </row>
    <row r="42" spans="1:34" hidden="1">
      <c r="A42" s="2853" t="s">
        <v>4018</v>
      </c>
      <c r="B42" s="2853" t="s">
        <v>3857</v>
      </c>
      <c r="C42" s="2853" t="s">
        <v>4028</v>
      </c>
      <c r="D42" s="2853" t="s">
        <v>3859</v>
      </c>
      <c r="E42" s="2853" t="s">
        <v>3860</v>
      </c>
      <c r="F42" s="2853" t="s">
        <v>3860</v>
      </c>
      <c r="G42" s="2853" t="s">
        <v>4020</v>
      </c>
      <c r="H42" s="2853" t="s">
        <v>3862</v>
      </c>
      <c r="I42" s="2853">
        <v>16755.939999999999</v>
      </c>
      <c r="J42" s="2853">
        <v>33511.879999999997</v>
      </c>
      <c r="K42" s="2853" t="s">
        <v>3967</v>
      </c>
      <c r="L42" s="2853" t="s">
        <v>3864</v>
      </c>
      <c r="M42" s="2853" t="s">
        <v>3994</v>
      </c>
      <c r="N42" s="2853" t="s">
        <v>3866</v>
      </c>
      <c r="O42" s="2853" t="s">
        <v>3867</v>
      </c>
      <c r="P42" s="2853" t="s">
        <v>3867</v>
      </c>
      <c r="Q42" s="3169">
        <v>43307.000497685185</v>
      </c>
      <c r="R42" s="2853" t="s">
        <v>3868</v>
      </c>
      <c r="S42" s="2853" t="s">
        <v>4021</v>
      </c>
      <c r="T42" s="2853" t="s">
        <v>4022</v>
      </c>
      <c r="U42" s="2853">
        <v>3015</v>
      </c>
      <c r="V42" s="2853">
        <v>1799.36</v>
      </c>
      <c r="W42" s="2853">
        <v>119.96</v>
      </c>
      <c r="X42" s="3170">
        <v>900</v>
      </c>
      <c r="Y42" s="2853" t="s">
        <v>3867</v>
      </c>
      <c r="Z42" s="2853">
        <v>0</v>
      </c>
      <c r="AA42" s="2853" t="s">
        <v>3871</v>
      </c>
      <c r="AB42" s="2853" t="s">
        <v>3867</v>
      </c>
      <c r="AC42" s="2853" t="s">
        <v>3867</v>
      </c>
      <c r="AD42" s="2853" t="s">
        <v>3867</v>
      </c>
      <c r="AE42" s="2853" t="s">
        <v>3867</v>
      </c>
      <c r="AF42" s="2853" t="s">
        <v>3917</v>
      </c>
      <c r="AG42" s="2853" t="s">
        <v>3873</v>
      </c>
      <c r="AH42" s="2853" t="s">
        <v>3874</v>
      </c>
    </row>
    <row r="43" spans="1:34" hidden="1">
      <c r="A43" s="2853" t="s">
        <v>3896</v>
      </c>
      <c r="B43" s="2853" t="s">
        <v>3857</v>
      </c>
      <c r="C43" s="2853" t="s">
        <v>4029</v>
      </c>
      <c r="D43" s="2853" t="s">
        <v>3859</v>
      </c>
      <c r="E43" s="2853" t="s">
        <v>3860</v>
      </c>
      <c r="F43" s="2853" t="s">
        <v>4030</v>
      </c>
      <c r="G43" s="2853" t="s">
        <v>3898</v>
      </c>
      <c r="H43" s="2853" t="s">
        <v>3862</v>
      </c>
      <c r="I43" s="2853">
        <v>30615.07</v>
      </c>
      <c r="J43" s="2853">
        <v>61230.14</v>
      </c>
      <c r="K43" s="2853" t="s">
        <v>3967</v>
      </c>
      <c r="L43" s="2853" t="s">
        <v>3864</v>
      </c>
      <c r="M43" s="2853" t="s">
        <v>3994</v>
      </c>
      <c r="N43" s="2853" t="s">
        <v>3866</v>
      </c>
      <c r="O43" s="2853" t="s">
        <v>3867</v>
      </c>
      <c r="P43" s="2853" t="s">
        <v>3867</v>
      </c>
      <c r="Q43" s="3169">
        <v>43291.000497685185</v>
      </c>
      <c r="R43" s="2853" t="s">
        <v>3868</v>
      </c>
      <c r="S43" s="2853" t="s">
        <v>4031</v>
      </c>
      <c r="T43" s="2853" t="s">
        <v>3867</v>
      </c>
      <c r="U43" s="2853">
        <v>5511</v>
      </c>
      <c r="V43" s="2853">
        <v>1800.09</v>
      </c>
      <c r="W43" s="2853">
        <v>120.01</v>
      </c>
      <c r="X43" s="3170">
        <v>900</v>
      </c>
      <c r="Y43" s="2853" t="s">
        <v>3867</v>
      </c>
      <c r="Z43" s="2853">
        <v>0</v>
      </c>
      <c r="AA43" s="2853" t="s">
        <v>3871</v>
      </c>
      <c r="AB43" s="2853" t="s">
        <v>3867</v>
      </c>
      <c r="AC43" s="2853" t="s">
        <v>3867</v>
      </c>
      <c r="AD43" s="2853" t="s">
        <v>3867</v>
      </c>
      <c r="AE43" s="2853" t="s">
        <v>3867</v>
      </c>
      <c r="AF43" s="2853" t="s">
        <v>3917</v>
      </c>
      <c r="AG43" s="2853" t="s">
        <v>3873</v>
      </c>
      <c r="AH43" s="2853" t="s">
        <v>3874</v>
      </c>
    </row>
    <row r="44" spans="1:34" hidden="1">
      <c r="A44" s="2853" t="s">
        <v>4032</v>
      </c>
      <c r="B44" s="2853" t="s">
        <v>3857</v>
      </c>
      <c r="C44" s="2853" t="s">
        <v>4033</v>
      </c>
      <c r="D44" s="2853" t="s">
        <v>3859</v>
      </c>
      <c r="E44" s="2853" t="s">
        <v>3860</v>
      </c>
      <c r="F44" s="2853" t="s">
        <v>3860</v>
      </c>
      <c r="G44" s="2853" t="s">
        <v>4034</v>
      </c>
      <c r="H44" s="2853" t="s">
        <v>3862</v>
      </c>
      <c r="I44" s="2853">
        <v>8837.83</v>
      </c>
      <c r="J44" s="2853">
        <v>13256.75</v>
      </c>
      <c r="K44" s="2853" t="s">
        <v>4015</v>
      </c>
      <c r="L44" s="2853" t="s">
        <v>4026</v>
      </c>
      <c r="M44" s="2853" t="s">
        <v>3994</v>
      </c>
      <c r="N44" s="2853" t="s">
        <v>3866</v>
      </c>
      <c r="O44" s="2853" t="s">
        <v>3867</v>
      </c>
      <c r="P44" s="2853" t="s">
        <v>3867</v>
      </c>
      <c r="Q44" s="3169">
        <v>43238.000497685185</v>
      </c>
      <c r="R44" s="2853" t="s">
        <v>3868</v>
      </c>
      <c r="S44" s="2853" t="s">
        <v>3985</v>
      </c>
      <c r="T44" s="2853" t="s">
        <v>3867</v>
      </c>
      <c r="U44" s="2853">
        <v>1008</v>
      </c>
      <c r="V44" s="2853">
        <v>1140.55</v>
      </c>
      <c r="W44" s="2853">
        <v>76.040000000000006</v>
      </c>
      <c r="X44" s="3170">
        <v>760</v>
      </c>
      <c r="Y44" s="2853" t="s">
        <v>3867</v>
      </c>
      <c r="Z44" s="2853">
        <v>0</v>
      </c>
      <c r="AA44" s="2853" t="s">
        <v>3871</v>
      </c>
      <c r="AB44" s="2853" t="s">
        <v>3867</v>
      </c>
      <c r="AC44" s="2853" t="s">
        <v>3867</v>
      </c>
      <c r="AD44" s="2853" t="s">
        <v>3867</v>
      </c>
      <c r="AE44" s="2853" t="s">
        <v>3867</v>
      </c>
      <c r="AF44" s="2853" t="s">
        <v>3917</v>
      </c>
      <c r="AG44" s="2853" t="s">
        <v>3873</v>
      </c>
      <c r="AH44" s="2853" t="s">
        <v>3874</v>
      </c>
    </row>
    <row r="45" spans="1:34" hidden="1">
      <c r="A45" s="2853" t="s">
        <v>4035</v>
      </c>
      <c r="B45" s="2853" t="s">
        <v>3857</v>
      </c>
      <c r="C45" s="2853" t="s">
        <v>4036</v>
      </c>
      <c r="D45" s="2853" t="s">
        <v>3859</v>
      </c>
      <c r="E45" s="2853" t="s">
        <v>3860</v>
      </c>
      <c r="F45" s="2853" t="s">
        <v>4037</v>
      </c>
      <c r="G45" s="2853" t="s">
        <v>4038</v>
      </c>
      <c r="H45" s="2853" t="s">
        <v>3862</v>
      </c>
      <c r="I45" s="2853">
        <v>50189.03</v>
      </c>
      <c r="J45" s="2853">
        <v>75283.55</v>
      </c>
      <c r="K45" s="2853" t="s">
        <v>4015</v>
      </c>
      <c r="L45" s="2853" t="s">
        <v>3864</v>
      </c>
      <c r="M45" s="2853" t="s">
        <v>3994</v>
      </c>
      <c r="N45" s="2853" t="s">
        <v>3866</v>
      </c>
      <c r="O45" s="2853" t="s">
        <v>3867</v>
      </c>
      <c r="P45" s="2853" t="s">
        <v>3867</v>
      </c>
      <c r="Q45" s="3169">
        <v>43248.000497685185</v>
      </c>
      <c r="R45" s="2853" t="s">
        <v>3868</v>
      </c>
      <c r="S45" s="2853" t="s">
        <v>4039</v>
      </c>
      <c r="T45" s="2853" t="s">
        <v>3867</v>
      </c>
      <c r="U45" s="2853">
        <v>3764</v>
      </c>
      <c r="V45" s="2853">
        <v>749.96</v>
      </c>
      <c r="W45" s="2853">
        <v>50</v>
      </c>
      <c r="X45" s="3170">
        <v>500</v>
      </c>
      <c r="Y45" s="2853" t="s">
        <v>3867</v>
      </c>
      <c r="Z45" s="2853">
        <v>0</v>
      </c>
      <c r="AA45" s="2853" t="s">
        <v>3871</v>
      </c>
      <c r="AB45" s="2853" t="s">
        <v>3867</v>
      </c>
      <c r="AC45" s="2853" t="s">
        <v>3867</v>
      </c>
      <c r="AD45" s="2853" t="s">
        <v>3867</v>
      </c>
      <c r="AE45" s="2853" t="s">
        <v>3867</v>
      </c>
      <c r="AF45" s="2853" t="s">
        <v>3917</v>
      </c>
      <c r="AG45" s="2853" t="s">
        <v>3873</v>
      </c>
      <c r="AH45" s="2853" t="s">
        <v>3874</v>
      </c>
    </row>
    <row r="46" spans="1:34" hidden="1">
      <c r="A46" s="2853" t="s">
        <v>4032</v>
      </c>
      <c r="B46" s="2853" t="s">
        <v>3857</v>
      </c>
      <c r="C46" s="2853" t="s">
        <v>4040</v>
      </c>
      <c r="D46" s="2853" t="s">
        <v>3859</v>
      </c>
      <c r="E46" s="2853" t="s">
        <v>3860</v>
      </c>
      <c r="F46" s="2853" t="s">
        <v>3860</v>
      </c>
      <c r="G46" s="2853" t="s">
        <v>4034</v>
      </c>
      <c r="H46" s="2853" t="s">
        <v>3862</v>
      </c>
      <c r="I46" s="2853">
        <v>8470.0400000000009</v>
      </c>
      <c r="J46" s="2853">
        <v>12705.06</v>
      </c>
      <c r="K46" s="2853" t="s">
        <v>4041</v>
      </c>
      <c r="L46" s="2853" t="s">
        <v>4026</v>
      </c>
      <c r="M46" s="2853" t="s">
        <v>3994</v>
      </c>
      <c r="N46" s="2853" t="s">
        <v>3866</v>
      </c>
      <c r="O46" s="2853" t="s">
        <v>3867</v>
      </c>
      <c r="P46" s="2853" t="s">
        <v>3867</v>
      </c>
      <c r="Q46" s="3169">
        <v>43186.000497685185</v>
      </c>
      <c r="R46" s="2853" t="s">
        <v>3868</v>
      </c>
      <c r="S46" s="2853" t="s">
        <v>3985</v>
      </c>
      <c r="T46" s="2853" t="s">
        <v>3867</v>
      </c>
      <c r="U46" s="2853">
        <v>966</v>
      </c>
      <c r="V46" s="2853">
        <v>1140.49</v>
      </c>
      <c r="W46" s="2853">
        <v>76.03</v>
      </c>
      <c r="X46" s="3170">
        <v>760</v>
      </c>
      <c r="Y46" s="2853" t="s">
        <v>3867</v>
      </c>
      <c r="Z46" s="2853">
        <v>0</v>
      </c>
      <c r="AA46" s="2853" t="s">
        <v>3871</v>
      </c>
      <c r="AB46" s="2853" t="s">
        <v>3867</v>
      </c>
      <c r="AC46" s="2853" t="s">
        <v>3867</v>
      </c>
      <c r="AD46" s="2853" t="s">
        <v>3867</v>
      </c>
      <c r="AE46" s="2853" t="s">
        <v>3867</v>
      </c>
      <c r="AF46" s="2853" t="s">
        <v>3917</v>
      </c>
      <c r="AG46" s="2853" t="s">
        <v>3873</v>
      </c>
      <c r="AH46" s="2853" t="s">
        <v>3874</v>
      </c>
    </row>
    <row r="47" spans="1:34" hidden="1">
      <c r="A47" s="2853" t="s">
        <v>4042</v>
      </c>
      <c r="B47" s="2853" t="s">
        <v>3857</v>
      </c>
      <c r="C47" s="2853" t="s">
        <v>4043</v>
      </c>
      <c r="D47" s="2853" t="s">
        <v>3859</v>
      </c>
      <c r="E47" s="2853" t="s">
        <v>3860</v>
      </c>
      <c r="F47" s="2853" t="s">
        <v>3860</v>
      </c>
      <c r="G47" s="2853" t="s">
        <v>4044</v>
      </c>
      <c r="H47" s="2853" t="s">
        <v>3862</v>
      </c>
      <c r="I47" s="2853">
        <v>27353.78</v>
      </c>
      <c r="J47" s="2853">
        <v>65649.070000000007</v>
      </c>
      <c r="K47" s="2853" t="s">
        <v>3930</v>
      </c>
      <c r="L47" s="2853" t="s">
        <v>4026</v>
      </c>
      <c r="M47" s="2853" t="s">
        <v>4045</v>
      </c>
      <c r="N47" s="2853" t="s">
        <v>3866</v>
      </c>
      <c r="O47" s="2853" t="s">
        <v>3867</v>
      </c>
      <c r="P47" s="2853" t="s">
        <v>3867</v>
      </c>
      <c r="Q47" s="3169">
        <v>43094.000497685185</v>
      </c>
      <c r="R47" s="2853" t="s">
        <v>3868</v>
      </c>
      <c r="S47" s="2853" t="s">
        <v>3944</v>
      </c>
      <c r="T47" s="2853" t="s">
        <v>3867</v>
      </c>
      <c r="U47" s="2853">
        <v>3693</v>
      </c>
      <c r="V47" s="2853">
        <v>1350.08</v>
      </c>
      <c r="W47" s="2853">
        <v>90.01</v>
      </c>
      <c r="X47" s="3170">
        <v>563</v>
      </c>
      <c r="Y47" s="2853" t="s">
        <v>3867</v>
      </c>
      <c r="Z47" s="2853">
        <v>0</v>
      </c>
      <c r="AA47" s="2853" t="s">
        <v>3871</v>
      </c>
      <c r="AB47" s="2853" t="s">
        <v>3867</v>
      </c>
      <c r="AC47" s="2853" t="s">
        <v>3867</v>
      </c>
      <c r="AD47" s="2853" t="s">
        <v>3867</v>
      </c>
      <c r="AE47" s="2853" t="s">
        <v>3867</v>
      </c>
      <c r="AF47" s="2853" t="s">
        <v>3917</v>
      </c>
      <c r="AG47" s="2853" t="s">
        <v>3873</v>
      </c>
      <c r="AH47" s="2853" t="s">
        <v>3874</v>
      </c>
    </row>
    <row r="48" spans="1:34" hidden="1">
      <c r="A48" s="2853" t="s">
        <v>4046</v>
      </c>
      <c r="B48" s="2853" t="s">
        <v>3857</v>
      </c>
      <c r="C48" s="2853" t="s">
        <v>4047</v>
      </c>
      <c r="D48" s="2853" t="s">
        <v>3859</v>
      </c>
      <c r="E48" s="2853" t="s">
        <v>3860</v>
      </c>
      <c r="F48" s="2853" t="s">
        <v>3860</v>
      </c>
      <c r="G48" s="2853" t="s">
        <v>4048</v>
      </c>
      <c r="H48" s="2853" t="s">
        <v>3862</v>
      </c>
      <c r="I48" s="2853">
        <v>41374.410000000003</v>
      </c>
      <c r="J48" s="2853">
        <v>62061.62</v>
      </c>
      <c r="K48" s="2853" t="s">
        <v>4015</v>
      </c>
      <c r="L48" s="2853" t="s">
        <v>4026</v>
      </c>
      <c r="M48" s="2853" t="s">
        <v>3994</v>
      </c>
      <c r="N48" s="2853" t="s">
        <v>3866</v>
      </c>
      <c r="O48" s="2853" t="s">
        <v>3867</v>
      </c>
      <c r="P48" s="2853" t="s">
        <v>3867</v>
      </c>
      <c r="Q48" s="3169">
        <v>43094.000497685185</v>
      </c>
      <c r="R48" s="2853" t="s">
        <v>3868</v>
      </c>
      <c r="S48" s="2853" t="s">
        <v>4016</v>
      </c>
      <c r="T48" s="2853" t="s">
        <v>4017</v>
      </c>
      <c r="U48" s="2853">
        <v>6082</v>
      </c>
      <c r="V48" s="2853">
        <v>1469.99</v>
      </c>
      <c r="W48" s="2853">
        <v>98</v>
      </c>
      <c r="X48" s="3170">
        <v>980</v>
      </c>
      <c r="Y48" s="2853" t="s">
        <v>3867</v>
      </c>
      <c r="Z48" s="2853">
        <v>0</v>
      </c>
      <c r="AA48" s="2853" t="s">
        <v>3871</v>
      </c>
      <c r="AB48" s="2853" t="s">
        <v>3867</v>
      </c>
      <c r="AC48" s="2853" t="s">
        <v>3867</v>
      </c>
      <c r="AD48" s="2853" t="s">
        <v>3867</v>
      </c>
      <c r="AE48" s="2853" t="s">
        <v>3867</v>
      </c>
      <c r="AF48" s="2853" t="s">
        <v>3917</v>
      </c>
      <c r="AG48" s="2853" t="s">
        <v>3873</v>
      </c>
      <c r="AH48" s="2853" t="s">
        <v>3874</v>
      </c>
    </row>
    <row r="49" spans="1:34" hidden="1">
      <c r="A49" s="2853" t="s">
        <v>4049</v>
      </c>
      <c r="B49" s="2853" t="s">
        <v>3857</v>
      </c>
      <c r="C49" s="2853" t="s">
        <v>4050</v>
      </c>
      <c r="D49" s="2853" t="s">
        <v>3859</v>
      </c>
      <c r="E49" s="2853" t="s">
        <v>3860</v>
      </c>
      <c r="F49" s="2853" t="s">
        <v>3860</v>
      </c>
      <c r="G49" s="2853" t="s">
        <v>4051</v>
      </c>
      <c r="H49" s="2853" t="s">
        <v>3862</v>
      </c>
      <c r="I49" s="2853">
        <v>61520.29</v>
      </c>
      <c r="J49" s="2853">
        <v>123040.6</v>
      </c>
      <c r="K49" s="2853" t="s">
        <v>3967</v>
      </c>
      <c r="L49" s="2853" t="s">
        <v>4026</v>
      </c>
      <c r="M49" s="2853" t="s">
        <v>3994</v>
      </c>
      <c r="N49" s="2853" t="s">
        <v>3866</v>
      </c>
      <c r="O49" s="2853" t="s">
        <v>3867</v>
      </c>
      <c r="P49" s="2853" t="s">
        <v>3867</v>
      </c>
      <c r="Q49" s="3169">
        <v>43094.000497685185</v>
      </c>
      <c r="R49" s="2853" t="s">
        <v>3868</v>
      </c>
      <c r="S49" s="2853" t="s">
        <v>4052</v>
      </c>
      <c r="T49" s="2853" t="s">
        <v>4053</v>
      </c>
      <c r="U49" s="2853">
        <v>11074</v>
      </c>
      <c r="V49" s="2853">
        <v>1800.05</v>
      </c>
      <c r="W49" s="2853">
        <v>120</v>
      </c>
      <c r="X49" s="3170">
        <v>900</v>
      </c>
      <c r="Y49" s="2853" t="s">
        <v>3867</v>
      </c>
      <c r="Z49" s="2853">
        <v>0</v>
      </c>
      <c r="AA49" s="2853" t="s">
        <v>3871</v>
      </c>
      <c r="AB49" s="2853" t="s">
        <v>3867</v>
      </c>
      <c r="AC49" s="2853" t="s">
        <v>3867</v>
      </c>
      <c r="AD49" s="2853" t="s">
        <v>3867</v>
      </c>
      <c r="AE49" s="2853" t="s">
        <v>3867</v>
      </c>
      <c r="AF49" s="2853" t="s">
        <v>3917</v>
      </c>
      <c r="AG49" s="2853" t="s">
        <v>3873</v>
      </c>
      <c r="AH49" s="2853" t="s">
        <v>3874</v>
      </c>
    </row>
    <row r="50" spans="1:34" hidden="1">
      <c r="A50" s="2853" t="s">
        <v>4054</v>
      </c>
      <c r="B50" s="2853" t="s">
        <v>3857</v>
      </c>
      <c r="C50" s="2853" t="s">
        <v>4055</v>
      </c>
      <c r="D50" s="2853" t="s">
        <v>3859</v>
      </c>
      <c r="E50" s="2853" t="s">
        <v>3860</v>
      </c>
      <c r="F50" s="2853" t="s">
        <v>3860</v>
      </c>
      <c r="G50" s="2853" t="s">
        <v>4056</v>
      </c>
      <c r="H50" s="2853" t="s">
        <v>3862</v>
      </c>
      <c r="I50" s="2853">
        <v>90492.79</v>
      </c>
      <c r="J50" s="2853">
        <v>135739.19</v>
      </c>
      <c r="K50" s="2853" t="s">
        <v>4015</v>
      </c>
      <c r="L50" s="2853" t="s">
        <v>4026</v>
      </c>
      <c r="M50" s="2853" t="s">
        <v>4003</v>
      </c>
      <c r="N50" s="2853" t="s">
        <v>3866</v>
      </c>
      <c r="O50" s="2853" t="s">
        <v>3867</v>
      </c>
      <c r="P50" s="2853" t="s">
        <v>3867</v>
      </c>
      <c r="Q50" s="3169">
        <v>43094.000497685185</v>
      </c>
      <c r="R50" s="2853" t="s">
        <v>3868</v>
      </c>
      <c r="S50" s="2853" t="s">
        <v>4052</v>
      </c>
      <c r="T50" s="2853" t="s">
        <v>4053</v>
      </c>
      <c r="U50" s="2853">
        <v>13574</v>
      </c>
      <c r="V50" s="2853">
        <v>1500</v>
      </c>
      <c r="W50" s="2853">
        <v>100</v>
      </c>
      <c r="X50" s="3170">
        <v>1000</v>
      </c>
      <c r="Y50" s="2853" t="s">
        <v>3867</v>
      </c>
      <c r="Z50" s="2853">
        <v>0</v>
      </c>
      <c r="AA50" s="2853" t="s">
        <v>3871</v>
      </c>
      <c r="AB50" s="2853" t="s">
        <v>3867</v>
      </c>
      <c r="AC50" s="2853" t="s">
        <v>3867</v>
      </c>
      <c r="AD50" s="2853" t="s">
        <v>3867</v>
      </c>
      <c r="AE50" s="2853" t="s">
        <v>3867</v>
      </c>
      <c r="AF50" s="2853" t="s">
        <v>3917</v>
      </c>
      <c r="AG50" s="2853" t="s">
        <v>3873</v>
      </c>
      <c r="AH50" s="2853" t="s">
        <v>3874</v>
      </c>
    </row>
    <row r="51" spans="1:34" hidden="1">
      <c r="A51" s="2853" t="s">
        <v>4057</v>
      </c>
      <c r="B51" s="2853" t="s">
        <v>3857</v>
      </c>
      <c r="C51" s="2853" t="s">
        <v>4058</v>
      </c>
      <c r="D51" s="2853" t="s">
        <v>3859</v>
      </c>
      <c r="E51" s="2853" t="s">
        <v>3860</v>
      </c>
      <c r="F51" s="2853" t="s">
        <v>3860</v>
      </c>
      <c r="G51" s="2853" t="s">
        <v>4059</v>
      </c>
      <c r="H51" s="2853" t="s">
        <v>3862</v>
      </c>
      <c r="I51" s="2853">
        <v>20309.11</v>
      </c>
      <c r="J51" s="2853">
        <v>48741.86</v>
      </c>
      <c r="K51" s="2853" t="s">
        <v>4060</v>
      </c>
      <c r="L51" s="2853" t="s">
        <v>3879</v>
      </c>
      <c r="M51" s="2853" t="s">
        <v>4003</v>
      </c>
      <c r="N51" s="2853" t="s">
        <v>3866</v>
      </c>
      <c r="O51" s="2853" t="s">
        <v>3867</v>
      </c>
      <c r="P51" s="2853" t="s">
        <v>3867</v>
      </c>
      <c r="Q51" s="3169">
        <v>43038.000497685185</v>
      </c>
      <c r="R51" s="2853" t="s">
        <v>3868</v>
      </c>
      <c r="S51" s="2853" t="s">
        <v>4061</v>
      </c>
      <c r="T51" s="2853" t="s">
        <v>3867</v>
      </c>
      <c r="U51" s="2853">
        <v>3656</v>
      </c>
      <c r="V51" s="2853">
        <v>1800.17</v>
      </c>
      <c r="W51" s="2853">
        <v>120.01</v>
      </c>
      <c r="X51" s="3170">
        <v>750</v>
      </c>
      <c r="Y51" s="2853" t="s">
        <v>3867</v>
      </c>
      <c r="Z51" s="2853">
        <v>0</v>
      </c>
      <c r="AA51" s="2853" t="s">
        <v>3871</v>
      </c>
      <c r="AB51" s="2853" t="s">
        <v>3867</v>
      </c>
      <c r="AC51" s="2853" t="s">
        <v>3867</v>
      </c>
      <c r="AD51" s="2853" t="s">
        <v>3867</v>
      </c>
      <c r="AE51" s="2853" t="s">
        <v>3867</v>
      </c>
      <c r="AF51" s="2853" t="s">
        <v>3917</v>
      </c>
      <c r="AG51" s="2853" t="s">
        <v>3873</v>
      </c>
      <c r="AH51" s="2853" t="s">
        <v>3874</v>
      </c>
    </row>
    <row r="52" spans="1:34" hidden="1">
      <c r="A52" s="2853" t="s">
        <v>4054</v>
      </c>
      <c r="B52" s="2853" t="s">
        <v>3857</v>
      </c>
      <c r="C52" s="2853" t="s">
        <v>4062</v>
      </c>
      <c r="D52" s="2853" t="s">
        <v>3859</v>
      </c>
      <c r="E52" s="2853" t="s">
        <v>3860</v>
      </c>
      <c r="F52" s="2853" t="s">
        <v>3860</v>
      </c>
      <c r="G52" s="2853" t="s">
        <v>4056</v>
      </c>
      <c r="H52" s="2853" t="s">
        <v>3862</v>
      </c>
      <c r="I52" s="2853">
        <v>29371.81</v>
      </c>
      <c r="J52" s="2853">
        <v>70492.34</v>
      </c>
      <c r="K52" s="2853" t="s">
        <v>4060</v>
      </c>
      <c r="L52" s="2853" t="s">
        <v>3879</v>
      </c>
      <c r="M52" s="2853" t="s">
        <v>4003</v>
      </c>
      <c r="N52" s="2853" t="s">
        <v>3866</v>
      </c>
      <c r="O52" s="2853" t="s">
        <v>3867</v>
      </c>
      <c r="P52" s="2853" t="s">
        <v>3867</v>
      </c>
      <c r="Q52" s="3169">
        <v>43038.000497685185</v>
      </c>
      <c r="R52" s="2853" t="s">
        <v>3868</v>
      </c>
      <c r="S52" s="2853" t="s">
        <v>4063</v>
      </c>
      <c r="T52" s="2853" t="s">
        <v>3867</v>
      </c>
      <c r="U52" s="2853">
        <v>3525</v>
      </c>
      <c r="V52" s="2853">
        <v>1200.1300000000001</v>
      </c>
      <c r="W52" s="2853">
        <v>80.010000000000005</v>
      </c>
      <c r="X52" s="3170">
        <v>500</v>
      </c>
      <c r="Y52" s="2853" t="s">
        <v>3867</v>
      </c>
      <c r="Z52" s="2853">
        <v>0</v>
      </c>
      <c r="AA52" s="2853" t="s">
        <v>3871</v>
      </c>
      <c r="AB52" s="2853" t="s">
        <v>3867</v>
      </c>
      <c r="AC52" s="2853" t="s">
        <v>3867</v>
      </c>
      <c r="AD52" s="2853" t="s">
        <v>3867</v>
      </c>
      <c r="AE52" s="2853" t="s">
        <v>3867</v>
      </c>
      <c r="AF52" s="2853" t="s">
        <v>3917</v>
      </c>
      <c r="AG52" s="2853" t="s">
        <v>3873</v>
      </c>
      <c r="AH52" s="2853" t="s">
        <v>3874</v>
      </c>
    </row>
    <row r="53" spans="1:34" hidden="1">
      <c r="A53" s="2853" t="s">
        <v>4042</v>
      </c>
      <c r="B53" s="2853" t="s">
        <v>3857</v>
      </c>
      <c r="C53" s="2853" t="s">
        <v>4064</v>
      </c>
      <c r="D53" s="2853" t="s">
        <v>3859</v>
      </c>
      <c r="E53" s="2853" t="s">
        <v>3860</v>
      </c>
      <c r="F53" s="2853" t="s">
        <v>3860</v>
      </c>
      <c r="G53" s="2853" t="s">
        <v>4044</v>
      </c>
      <c r="H53" s="2853" t="s">
        <v>3862</v>
      </c>
      <c r="I53" s="2853">
        <v>41361.22</v>
      </c>
      <c r="J53" s="2853">
        <v>99266.93</v>
      </c>
      <c r="K53" s="2853" t="s">
        <v>4060</v>
      </c>
      <c r="L53" s="2853" t="s">
        <v>3879</v>
      </c>
      <c r="M53" s="2853" t="s">
        <v>4003</v>
      </c>
      <c r="N53" s="2853" t="s">
        <v>3866</v>
      </c>
      <c r="O53" s="2853" t="s">
        <v>3867</v>
      </c>
      <c r="P53" s="2853" t="s">
        <v>3867</v>
      </c>
      <c r="Q53" s="3169">
        <v>43038.000497685185</v>
      </c>
      <c r="R53" s="2853" t="s">
        <v>3868</v>
      </c>
      <c r="S53" s="2853" t="s">
        <v>4063</v>
      </c>
      <c r="T53" s="2853" t="s">
        <v>3867</v>
      </c>
      <c r="U53" s="2853">
        <v>4965</v>
      </c>
      <c r="V53" s="2853">
        <v>1200.3900000000001</v>
      </c>
      <c r="W53" s="2853">
        <v>80.03</v>
      </c>
      <c r="X53" s="3170">
        <v>500</v>
      </c>
      <c r="Y53" s="2853" t="s">
        <v>3867</v>
      </c>
      <c r="Z53" s="2853">
        <v>0</v>
      </c>
      <c r="AA53" s="2853" t="s">
        <v>3871</v>
      </c>
      <c r="AB53" s="2853" t="s">
        <v>3867</v>
      </c>
      <c r="AC53" s="2853" t="s">
        <v>3867</v>
      </c>
      <c r="AD53" s="2853" t="s">
        <v>3867</v>
      </c>
      <c r="AE53" s="2853" t="s">
        <v>3867</v>
      </c>
      <c r="AF53" s="2853" t="s">
        <v>3917</v>
      </c>
      <c r="AG53" s="2853" t="s">
        <v>3873</v>
      </c>
      <c r="AH53" s="2853" t="s">
        <v>3874</v>
      </c>
    </row>
    <row r="54" spans="1:34" hidden="1">
      <c r="A54" s="2853" t="s">
        <v>4032</v>
      </c>
      <c r="B54" s="2853" t="s">
        <v>3857</v>
      </c>
      <c r="C54" s="2853" t="s">
        <v>4065</v>
      </c>
      <c r="D54" s="2853" t="s">
        <v>3859</v>
      </c>
      <c r="E54" s="2853" t="s">
        <v>3860</v>
      </c>
      <c r="F54" s="2853" t="s">
        <v>3860</v>
      </c>
      <c r="G54" s="2853" t="s">
        <v>4034</v>
      </c>
      <c r="H54" s="2853" t="s">
        <v>3862</v>
      </c>
      <c r="I54" s="2853">
        <v>5038.05</v>
      </c>
      <c r="J54" s="2853">
        <v>7557.08</v>
      </c>
      <c r="K54" s="2853" t="s">
        <v>4015</v>
      </c>
      <c r="L54" s="2853" t="s">
        <v>4026</v>
      </c>
      <c r="M54" s="2853" t="s">
        <v>4003</v>
      </c>
      <c r="N54" s="2853" t="s">
        <v>3866</v>
      </c>
      <c r="O54" s="2853" t="s">
        <v>3867</v>
      </c>
      <c r="P54" s="2853" t="s">
        <v>3867</v>
      </c>
      <c r="Q54" s="3169">
        <v>43005.000497685185</v>
      </c>
      <c r="R54" s="2853" t="s">
        <v>3868</v>
      </c>
      <c r="S54" s="2853" t="s">
        <v>3985</v>
      </c>
      <c r="T54" s="2853" t="s">
        <v>3867</v>
      </c>
      <c r="U54" s="2853">
        <v>580</v>
      </c>
      <c r="V54" s="2853">
        <v>1151.23</v>
      </c>
      <c r="W54" s="2853">
        <v>76.75</v>
      </c>
      <c r="X54" s="3170">
        <v>767</v>
      </c>
      <c r="Y54" s="2853" t="s">
        <v>3867</v>
      </c>
      <c r="Z54" s="2853">
        <v>0</v>
      </c>
      <c r="AA54" s="2853" t="s">
        <v>3871</v>
      </c>
      <c r="AB54" s="2853" t="s">
        <v>3867</v>
      </c>
      <c r="AC54" s="2853" t="s">
        <v>3867</v>
      </c>
      <c r="AD54" s="2853" t="s">
        <v>3867</v>
      </c>
      <c r="AE54" s="2853" t="s">
        <v>3867</v>
      </c>
      <c r="AF54" s="2853" t="s">
        <v>3917</v>
      </c>
      <c r="AG54" s="2853" t="s">
        <v>3873</v>
      </c>
      <c r="AH54" s="2853" t="s">
        <v>3874</v>
      </c>
    </row>
    <row r="55" spans="1:34" hidden="1">
      <c r="A55" s="2853" t="s">
        <v>4032</v>
      </c>
      <c r="B55" s="2853" t="s">
        <v>3857</v>
      </c>
      <c r="C55" s="2853" t="s">
        <v>4066</v>
      </c>
      <c r="D55" s="2853" t="s">
        <v>3859</v>
      </c>
      <c r="E55" s="2853" t="s">
        <v>3860</v>
      </c>
      <c r="F55" s="2853" t="s">
        <v>3860</v>
      </c>
      <c r="G55" s="2853" t="s">
        <v>4034</v>
      </c>
      <c r="H55" s="2853" t="s">
        <v>3862</v>
      </c>
      <c r="I55" s="2853">
        <v>34355.300000000003</v>
      </c>
      <c r="J55" s="2853">
        <v>51532.95</v>
      </c>
      <c r="K55" s="2853" t="s">
        <v>4015</v>
      </c>
      <c r="L55" s="2853" t="s">
        <v>4026</v>
      </c>
      <c r="M55" s="2853" t="s">
        <v>4003</v>
      </c>
      <c r="N55" s="2853" t="s">
        <v>3866</v>
      </c>
      <c r="O55" s="2853" t="s">
        <v>3867</v>
      </c>
      <c r="P55" s="2853" t="s">
        <v>3867</v>
      </c>
      <c r="Q55" s="3169">
        <v>43005.000497685185</v>
      </c>
      <c r="R55" s="2853" t="s">
        <v>3868</v>
      </c>
      <c r="S55" s="2853" t="s">
        <v>3985</v>
      </c>
      <c r="T55" s="2853" t="s">
        <v>3867</v>
      </c>
      <c r="U55" s="2853">
        <v>3920</v>
      </c>
      <c r="V55" s="2853">
        <v>1141.01</v>
      </c>
      <c r="W55" s="2853">
        <v>76.069999999999993</v>
      </c>
      <c r="X55" s="3170">
        <v>761</v>
      </c>
      <c r="Y55" s="2853" t="s">
        <v>3867</v>
      </c>
      <c r="Z55" s="2853">
        <v>0</v>
      </c>
      <c r="AA55" s="2853" t="s">
        <v>3871</v>
      </c>
      <c r="AB55" s="2853" t="s">
        <v>3867</v>
      </c>
      <c r="AC55" s="2853" t="s">
        <v>3867</v>
      </c>
      <c r="AD55" s="2853" t="s">
        <v>3867</v>
      </c>
      <c r="AE55" s="2853" t="s">
        <v>3867</v>
      </c>
      <c r="AF55" s="2853" t="s">
        <v>3917</v>
      </c>
      <c r="AG55" s="2853" t="s">
        <v>3873</v>
      </c>
      <c r="AH55" s="2853" t="s">
        <v>3874</v>
      </c>
    </row>
    <row r="56" spans="1:34" hidden="1">
      <c r="A56" s="2853" t="s">
        <v>4067</v>
      </c>
      <c r="B56" s="2853" t="s">
        <v>3857</v>
      </c>
      <c r="C56" s="2853" t="s">
        <v>4068</v>
      </c>
      <c r="D56" s="2853" t="s">
        <v>3859</v>
      </c>
      <c r="E56" s="2853" t="s">
        <v>3860</v>
      </c>
      <c r="F56" s="2853" t="s">
        <v>3860</v>
      </c>
      <c r="G56" s="2853" t="s">
        <v>4069</v>
      </c>
      <c r="H56" s="2853" t="s">
        <v>4010</v>
      </c>
      <c r="I56" s="2853">
        <v>9297.1</v>
      </c>
      <c r="J56" s="2853">
        <v>18594.2</v>
      </c>
      <c r="K56" s="2853" t="s">
        <v>3967</v>
      </c>
      <c r="L56" s="2853" t="s">
        <v>4026</v>
      </c>
      <c r="M56" s="2853" t="s">
        <v>4003</v>
      </c>
      <c r="N56" s="2853" t="s">
        <v>3866</v>
      </c>
      <c r="O56" s="2853" t="s">
        <v>3867</v>
      </c>
      <c r="P56" s="2853" t="s">
        <v>3867</v>
      </c>
      <c r="Q56" s="3169">
        <v>42996.000497685185</v>
      </c>
      <c r="R56" s="2853" t="s">
        <v>3868</v>
      </c>
      <c r="S56" s="2853" t="s">
        <v>4070</v>
      </c>
      <c r="T56" s="2853" t="s">
        <v>3867</v>
      </c>
      <c r="U56" s="2853">
        <v>1883</v>
      </c>
      <c r="V56" s="2853">
        <v>2025.36</v>
      </c>
      <c r="W56" s="2853">
        <v>135.02000000000001</v>
      </c>
      <c r="X56" s="3170">
        <v>1013</v>
      </c>
      <c r="Y56" s="2853" t="s">
        <v>3867</v>
      </c>
      <c r="Z56" s="2853">
        <v>0</v>
      </c>
      <c r="AA56" s="2853" t="s">
        <v>3871</v>
      </c>
      <c r="AB56" s="2853" t="s">
        <v>3867</v>
      </c>
      <c r="AC56" s="2853" t="s">
        <v>3867</v>
      </c>
      <c r="AD56" s="2853" t="s">
        <v>3867</v>
      </c>
      <c r="AE56" s="2853" t="s">
        <v>3867</v>
      </c>
      <c r="AF56" s="2853" t="s">
        <v>3917</v>
      </c>
      <c r="AG56" s="2853" t="s">
        <v>3873</v>
      </c>
      <c r="AH56" s="2853" t="s">
        <v>3874</v>
      </c>
    </row>
    <row r="57" spans="1:34" hidden="1">
      <c r="A57" s="2853" t="s">
        <v>3996</v>
      </c>
      <c r="B57" s="2853" t="s">
        <v>3857</v>
      </c>
      <c r="C57" s="2853" t="s">
        <v>4071</v>
      </c>
      <c r="D57" s="2853" t="s">
        <v>3859</v>
      </c>
      <c r="E57" s="2853" t="s">
        <v>3860</v>
      </c>
      <c r="F57" s="2853" t="s">
        <v>3860</v>
      </c>
      <c r="G57" s="2853" t="s">
        <v>3998</v>
      </c>
      <c r="H57" s="2853" t="s">
        <v>4010</v>
      </c>
      <c r="I57" s="2853">
        <v>44781.59</v>
      </c>
      <c r="J57" s="2853">
        <v>125388.5</v>
      </c>
      <c r="K57" s="2853" t="s">
        <v>4072</v>
      </c>
      <c r="L57" s="2853" t="s">
        <v>3864</v>
      </c>
      <c r="M57" s="2853" t="s">
        <v>4073</v>
      </c>
      <c r="N57" s="2853" t="s">
        <v>3866</v>
      </c>
      <c r="O57" s="2853" t="s">
        <v>3867</v>
      </c>
      <c r="P57" s="2853" t="s">
        <v>3867</v>
      </c>
      <c r="Q57" s="3169">
        <v>42923.000497685185</v>
      </c>
      <c r="R57" s="2853" t="s">
        <v>3868</v>
      </c>
      <c r="S57" s="2853" t="s">
        <v>4074</v>
      </c>
      <c r="T57" s="2853" t="s">
        <v>3867</v>
      </c>
      <c r="U57" s="2853">
        <v>3359</v>
      </c>
      <c r="V57" s="2853">
        <v>750.08</v>
      </c>
      <c r="W57" s="2853">
        <v>50.01</v>
      </c>
      <c r="X57" s="3170">
        <v>268</v>
      </c>
      <c r="Y57" s="2853" t="s">
        <v>3867</v>
      </c>
      <c r="Z57" s="2853">
        <v>0</v>
      </c>
      <c r="AA57" s="2853" t="s">
        <v>4075</v>
      </c>
      <c r="AB57" s="2853" t="s">
        <v>3867</v>
      </c>
      <c r="AC57" s="2853" t="s">
        <v>3867</v>
      </c>
      <c r="AD57" s="2853" t="s">
        <v>3867</v>
      </c>
      <c r="AE57" s="2853" t="s">
        <v>3867</v>
      </c>
      <c r="AF57" s="2853" t="s">
        <v>3917</v>
      </c>
      <c r="AG57" s="2853" t="s">
        <v>3873</v>
      </c>
      <c r="AH57" s="2853" t="s">
        <v>3874</v>
      </c>
    </row>
    <row r="58" spans="1:34" hidden="1">
      <c r="A58" s="2853" t="s">
        <v>3896</v>
      </c>
      <c r="B58" s="2853" t="s">
        <v>3857</v>
      </c>
      <c r="C58" s="2853" t="s">
        <v>4076</v>
      </c>
      <c r="D58" s="2853" t="s">
        <v>3859</v>
      </c>
      <c r="E58" s="2853" t="s">
        <v>3860</v>
      </c>
      <c r="F58" s="2853" t="s">
        <v>3860</v>
      </c>
      <c r="G58" s="2853" t="s">
        <v>3898</v>
      </c>
      <c r="H58" s="2853" t="s">
        <v>4010</v>
      </c>
      <c r="I58" s="2853">
        <v>22464.85</v>
      </c>
      <c r="J58" s="2853">
        <v>44929.7</v>
      </c>
      <c r="K58" s="2853" t="s">
        <v>4077</v>
      </c>
      <c r="L58" s="2853" t="s">
        <v>3864</v>
      </c>
      <c r="M58" s="2853" t="s">
        <v>4073</v>
      </c>
      <c r="N58" s="2853" t="s">
        <v>3866</v>
      </c>
      <c r="O58" s="2853" t="s">
        <v>3867</v>
      </c>
      <c r="P58" s="2853" t="s">
        <v>3867</v>
      </c>
      <c r="Q58" s="3169">
        <v>42923.000497685185</v>
      </c>
      <c r="R58" s="2853" t="s">
        <v>3868</v>
      </c>
      <c r="S58" s="2853" t="s">
        <v>4078</v>
      </c>
      <c r="T58" s="2853" t="s">
        <v>3867</v>
      </c>
      <c r="U58" s="2853">
        <v>1955</v>
      </c>
      <c r="V58" s="2853">
        <v>870.24</v>
      </c>
      <c r="W58" s="2853">
        <v>58.02</v>
      </c>
      <c r="X58" s="3170">
        <v>435</v>
      </c>
      <c r="Y58" s="2853" t="s">
        <v>3867</v>
      </c>
      <c r="Z58" s="2853">
        <v>0</v>
      </c>
      <c r="AA58" s="2853" t="s">
        <v>4075</v>
      </c>
      <c r="AB58" s="2853" t="s">
        <v>3867</v>
      </c>
      <c r="AC58" s="2853" t="s">
        <v>3867</v>
      </c>
      <c r="AD58" s="2853" t="s">
        <v>3867</v>
      </c>
      <c r="AE58" s="2853" t="s">
        <v>3867</v>
      </c>
      <c r="AF58" s="2853" t="s">
        <v>3917</v>
      </c>
      <c r="AG58" s="2853" t="s">
        <v>3873</v>
      </c>
      <c r="AH58" s="2853" t="s">
        <v>3874</v>
      </c>
    </row>
    <row r="59" spans="1:34" hidden="1">
      <c r="A59" s="2853" t="s">
        <v>3996</v>
      </c>
      <c r="B59" s="2853" t="s">
        <v>3857</v>
      </c>
      <c r="C59" s="2853" t="s">
        <v>4079</v>
      </c>
      <c r="D59" s="2853" t="s">
        <v>3859</v>
      </c>
      <c r="E59" s="2853" t="s">
        <v>3860</v>
      </c>
      <c r="F59" s="2853" t="s">
        <v>3860</v>
      </c>
      <c r="G59" s="2853" t="s">
        <v>3998</v>
      </c>
      <c r="H59" s="2853" t="s">
        <v>4010</v>
      </c>
      <c r="I59" s="2853">
        <v>110546</v>
      </c>
      <c r="J59" s="2853">
        <v>221092.1</v>
      </c>
      <c r="K59" s="2853" t="s">
        <v>4077</v>
      </c>
      <c r="L59" s="2853" t="s">
        <v>3879</v>
      </c>
      <c r="M59" s="2853" t="s">
        <v>4073</v>
      </c>
      <c r="N59" s="2853" t="s">
        <v>3866</v>
      </c>
      <c r="O59" s="2853" t="s">
        <v>3867</v>
      </c>
      <c r="P59" s="2853" t="s">
        <v>3867</v>
      </c>
      <c r="Q59" s="3169">
        <v>42912.000497685185</v>
      </c>
      <c r="R59" s="2853" t="s">
        <v>3868</v>
      </c>
      <c r="S59" s="2853" t="s">
        <v>3999</v>
      </c>
      <c r="T59" s="2853" t="s">
        <v>3867</v>
      </c>
      <c r="U59" s="2853">
        <v>9618</v>
      </c>
      <c r="V59" s="2853">
        <v>870.04</v>
      </c>
      <c r="W59" s="2853">
        <v>58</v>
      </c>
      <c r="X59" s="3170">
        <v>435</v>
      </c>
      <c r="Y59" s="2853" t="s">
        <v>3867</v>
      </c>
      <c r="Z59" s="2853">
        <v>0</v>
      </c>
      <c r="AA59" s="2853" t="s">
        <v>4075</v>
      </c>
      <c r="AB59" s="2853" t="s">
        <v>3867</v>
      </c>
      <c r="AC59" s="2853" t="s">
        <v>3867</v>
      </c>
      <c r="AD59" s="2853" t="s">
        <v>3867</v>
      </c>
      <c r="AE59" s="2853" t="s">
        <v>3867</v>
      </c>
      <c r="AF59" s="2853" t="s">
        <v>3917</v>
      </c>
      <c r="AG59" s="2853" t="s">
        <v>3873</v>
      </c>
      <c r="AH59" s="2853" t="s">
        <v>3874</v>
      </c>
    </row>
    <row r="60" spans="1:34" hidden="1">
      <c r="A60" s="2853" t="s">
        <v>3875</v>
      </c>
      <c r="B60" s="2853" t="s">
        <v>3857</v>
      </c>
      <c r="C60" s="2853" t="s">
        <v>4080</v>
      </c>
      <c r="D60" s="2853" t="s">
        <v>3859</v>
      </c>
      <c r="E60" s="2853" t="s">
        <v>3860</v>
      </c>
      <c r="F60" s="2853" t="s">
        <v>3860</v>
      </c>
      <c r="G60" s="2853" t="s">
        <v>3877</v>
      </c>
      <c r="H60" s="2853" t="s">
        <v>4010</v>
      </c>
      <c r="I60" s="2853">
        <v>79762.05</v>
      </c>
      <c r="J60" s="2853">
        <v>119643.1</v>
      </c>
      <c r="K60" s="2853" t="s">
        <v>4081</v>
      </c>
      <c r="L60" s="2853" t="s">
        <v>3879</v>
      </c>
      <c r="M60" s="2853" t="s">
        <v>4073</v>
      </c>
      <c r="N60" s="2853" t="s">
        <v>3866</v>
      </c>
      <c r="O60" s="2853" t="s">
        <v>3867</v>
      </c>
      <c r="P60" s="2853" t="s">
        <v>3867</v>
      </c>
      <c r="Q60" s="3169">
        <v>42912.000497685185</v>
      </c>
      <c r="R60" s="2853" t="s">
        <v>3868</v>
      </c>
      <c r="S60" s="2853" t="s">
        <v>4016</v>
      </c>
      <c r="T60" s="2853" t="s">
        <v>3867</v>
      </c>
      <c r="U60" s="2853">
        <v>9572</v>
      </c>
      <c r="V60" s="2853">
        <v>1200.06</v>
      </c>
      <c r="W60" s="2853">
        <v>80</v>
      </c>
      <c r="X60" s="3170">
        <v>800</v>
      </c>
      <c r="Y60" s="2853" t="s">
        <v>3867</v>
      </c>
      <c r="Z60" s="2853">
        <v>0</v>
      </c>
      <c r="AA60" s="2853" t="s">
        <v>4075</v>
      </c>
      <c r="AB60" s="2853" t="s">
        <v>3867</v>
      </c>
      <c r="AC60" s="2853" t="s">
        <v>3867</v>
      </c>
      <c r="AD60" s="2853" t="s">
        <v>3867</v>
      </c>
      <c r="AE60" s="2853" t="s">
        <v>3867</v>
      </c>
      <c r="AF60" s="2853" t="s">
        <v>3917</v>
      </c>
      <c r="AG60" s="2853" t="s">
        <v>3873</v>
      </c>
      <c r="AH60" s="2853" t="s">
        <v>3874</v>
      </c>
    </row>
    <row r="61" spans="1:34" hidden="1">
      <c r="A61" s="2853" t="s">
        <v>4082</v>
      </c>
      <c r="B61" s="2853" t="s">
        <v>3857</v>
      </c>
      <c r="C61" s="2853" t="s">
        <v>4083</v>
      </c>
      <c r="D61" s="2853" t="s">
        <v>3859</v>
      </c>
      <c r="E61" s="2853" t="s">
        <v>3860</v>
      </c>
      <c r="F61" s="2853" t="s">
        <v>3860</v>
      </c>
      <c r="G61" s="2853" t="s">
        <v>4084</v>
      </c>
      <c r="H61" s="2853" t="s">
        <v>4010</v>
      </c>
      <c r="I61" s="2853">
        <v>32161.759999999998</v>
      </c>
      <c r="J61" s="2853">
        <v>54674.99</v>
      </c>
      <c r="K61" s="2853" t="s">
        <v>3899</v>
      </c>
      <c r="L61" s="2853" t="s">
        <v>3864</v>
      </c>
      <c r="M61" s="2853" t="s">
        <v>4003</v>
      </c>
      <c r="N61" s="2853" t="s">
        <v>3866</v>
      </c>
      <c r="O61" s="2853" t="s">
        <v>3867</v>
      </c>
      <c r="P61" s="2853" t="s">
        <v>3867</v>
      </c>
      <c r="Q61" s="3169">
        <v>42654.000497685185</v>
      </c>
      <c r="R61" s="2853" t="s">
        <v>3868</v>
      </c>
      <c r="S61" s="2853" t="s">
        <v>4085</v>
      </c>
      <c r="T61" s="2853" t="s">
        <v>3867</v>
      </c>
      <c r="U61" s="2853">
        <v>2510</v>
      </c>
      <c r="V61" s="2853">
        <v>780.42</v>
      </c>
      <c r="W61" s="2853">
        <v>52.03</v>
      </c>
      <c r="X61" s="3170">
        <v>459</v>
      </c>
      <c r="Y61" s="2853" t="s">
        <v>3867</v>
      </c>
      <c r="Z61" s="2853">
        <v>0</v>
      </c>
      <c r="AA61" s="2853" t="s">
        <v>3871</v>
      </c>
      <c r="AB61" s="2853" t="s">
        <v>3867</v>
      </c>
      <c r="AC61" s="2853" t="s">
        <v>3867</v>
      </c>
      <c r="AD61" s="2853" t="s">
        <v>3867</v>
      </c>
      <c r="AE61" s="2853" t="s">
        <v>3867</v>
      </c>
      <c r="AF61" s="2853" t="s">
        <v>3917</v>
      </c>
      <c r="AG61" s="2853" t="s">
        <v>3873</v>
      </c>
      <c r="AH61" s="2853" t="s">
        <v>3874</v>
      </c>
    </row>
    <row r="68" spans="1:1" s="2853" customFormat="1" ht="13.5">
      <c r="A68" s="3176" t="s">
        <v>4086</v>
      </c>
    </row>
  </sheetData>
  <phoneticPr fontId="135" type="noConversion"/>
  <hyperlinks>
    <hyperlink ref="A68"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3" zoomScale="90" zoomScaleNormal="70" zoomScaleSheetLayoutView="9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3389</v>
      </c>
      <c r="D1" s="1270" t="s">
        <v>43</v>
      </c>
      <c r="E1" s="1271" t="s">
        <v>672</v>
      </c>
      <c r="F1" s="999">
        <f ca="1">J53</f>
        <v>65.61</v>
      </c>
      <c r="G1" s="1285">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f ca="1">C40+J29+L46</f>
        <v>2142176</v>
      </c>
      <c r="C2" s="1288" t="s">
        <v>799</v>
      </c>
      <c r="D2" s="1288"/>
      <c r="E2" s="1294"/>
      <c r="F2" s="1295"/>
      <c r="G2" s="2473"/>
      <c r="H2" s="2463"/>
      <c r="I2" s="2463"/>
      <c r="J2" s="2463"/>
      <c r="K2" s="2464"/>
      <c r="L2" s="2463"/>
      <c r="M2" s="2463"/>
    </row>
    <row r="3" spans="1:37" ht="18" customHeight="1" thickBot="1">
      <c r="A3" s="1296" t="s">
        <v>800</v>
      </c>
      <c r="B3" s="1297">
        <f ca="1">IF(ISERROR(B2*10000/F43),0,ROUND(B2*10000/F43,0))</f>
        <v>250339</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f ca="1">C6+C10+C12</f>
        <v>92533</v>
      </c>
      <c r="D5" s="1272" t="s">
        <v>687</v>
      </c>
      <c r="E5" s="1008"/>
      <c r="F5" s="1009"/>
      <c r="G5" s="1291"/>
      <c r="H5" s="291">
        <v>1</v>
      </c>
      <c r="I5" s="292" t="s">
        <v>686</v>
      </c>
      <c r="J5" s="1007">
        <f ca="1">J6+J10+J12</f>
        <v>0</v>
      </c>
      <c r="K5" s="1272" t="s">
        <v>687</v>
      </c>
      <c r="L5" s="1008"/>
      <c r="M5" s="1009"/>
    </row>
    <row r="6" spans="1:37" ht="18" customHeight="1">
      <c r="A6" s="1006" t="s">
        <v>398</v>
      </c>
      <c r="B6" s="3515" t="s">
        <v>688</v>
      </c>
      <c r="C6" s="1011">
        <f ca="1">ROUND(F6*F8*F7*(1-F9)/10000,0)</f>
        <v>92417</v>
      </c>
      <c r="D6" s="147" t="s">
        <v>2103</v>
      </c>
      <c r="E6" s="294" t="s">
        <v>690</v>
      </c>
      <c r="F6" s="295">
        <f ca="1">INDIRECT("'数据-取费表'!u"&amp;$G$1)</f>
        <v>1000</v>
      </c>
      <c r="G6" s="1291"/>
      <c r="H6" s="1006" t="s">
        <v>398</v>
      </c>
      <c r="I6" s="3515" t="s">
        <v>688</v>
      </c>
      <c r="J6" s="293">
        <f ca="1">ROUND(M6*M8*M7*(1-M9)/10000,0)</f>
        <v>0</v>
      </c>
      <c r="K6" s="147" t="s">
        <v>2102</v>
      </c>
      <c r="L6" s="294" t="s">
        <v>690</v>
      </c>
      <c r="M6" s="295">
        <f ca="1">INDIRECT("'数据-取费表'!z"&amp;$G$1)</f>
        <v>0</v>
      </c>
    </row>
    <row r="7" spans="1:37" ht="18" customHeight="1">
      <c r="A7" s="1010"/>
      <c r="B7" s="3516"/>
      <c r="C7" s="1012"/>
      <c r="D7" s="299"/>
      <c r="E7" s="1013" t="s">
        <v>691</v>
      </c>
      <c r="F7" s="295">
        <f ca="1">IF(INDIRECT("'数据-取费表'!ah"&amp;$G$1)="",INDIRECT("'数据-取费表'!k"&amp;$G$1),INDIRECT("'数据-取费表'!ah"&amp;$G$1))</f>
        <v>85571.080000000016</v>
      </c>
      <c r="G7" s="1291"/>
      <c r="H7" s="296"/>
      <c r="I7" s="3516"/>
      <c r="J7" s="298"/>
      <c r="K7" s="299"/>
      <c r="L7" s="294" t="s">
        <v>691</v>
      </c>
      <c r="M7" s="295">
        <f ca="1">F7</f>
        <v>85571.080000000016</v>
      </c>
    </row>
    <row r="8" spans="1:37" ht="18" customHeight="1">
      <c r="A8" s="296"/>
      <c r="B8" s="3516"/>
      <c r="C8" s="298"/>
      <c r="D8" s="299"/>
      <c r="E8" s="294" t="s">
        <v>692</v>
      </c>
      <c r="F8" s="295">
        <f ca="1">INDIRECT("'数据-取费表'!ai"&amp;$G$1)</f>
        <v>12</v>
      </c>
      <c r="G8" s="1291"/>
      <c r="H8" s="296"/>
      <c r="I8" s="3516"/>
      <c r="J8" s="298"/>
      <c r="K8" s="299"/>
      <c r="L8" s="294" t="s">
        <v>692</v>
      </c>
      <c r="M8" s="295">
        <f ca="1">INDIRECT("'数据-取费表'!ai"&amp;$G$1)</f>
        <v>12</v>
      </c>
    </row>
    <row r="9" spans="1:37" ht="18" customHeight="1">
      <c r="A9" s="296"/>
      <c r="B9" s="3517"/>
      <c r="C9" s="298"/>
      <c r="D9" s="299"/>
      <c r="E9" s="294" t="s">
        <v>693</v>
      </c>
      <c r="F9" s="304">
        <f ca="1">INDIRECT("'数据-取费表'!w"&amp;$G$1)</f>
        <v>0.1</v>
      </c>
      <c r="G9" s="1291"/>
      <c r="H9" s="296"/>
      <c r="I9" s="3517"/>
      <c r="J9" s="298"/>
      <c r="K9" s="299"/>
      <c r="L9" s="305" t="s">
        <v>693</v>
      </c>
      <c r="M9" s="306">
        <f ca="1">INDIRECT("'数据-取费表'!ab"&amp;$G$1)</f>
        <v>0</v>
      </c>
    </row>
    <row r="10" spans="1:37" ht="18" customHeight="1">
      <c r="A10" s="1006" t="s">
        <v>402</v>
      </c>
      <c r="B10" s="1273" t="s">
        <v>694</v>
      </c>
      <c r="C10" s="308">
        <f ca="1">ROUND(IF(F10="押一",C6/12*F11,IF(F10="押二",C6/12*2*F11,IF(F10="押三",C6/12*3*F11,C11*F11))),0)</f>
        <v>116</v>
      </c>
      <c r="D10" s="150" t="s">
        <v>2111</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52143</v>
      </c>
      <c r="D13" s="1018" t="s">
        <v>699</v>
      </c>
      <c r="E13" s="1018" t="s">
        <v>700</v>
      </c>
      <c r="F13" s="1019">
        <f ca="1">INDIRECT("'数据-取费表'!y"&amp;$G$1)</f>
        <v>1</v>
      </c>
      <c r="G13" s="1291"/>
      <c r="H13" s="1016">
        <v>2</v>
      </c>
      <c r="I13" s="1017" t="s">
        <v>698</v>
      </c>
      <c r="J13" s="1005">
        <f ca="1">ROUND(J14*J15,0)</f>
        <v>0</v>
      </c>
      <c r="K13" s="1024" t="s">
        <v>699</v>
      </c>
      <c r="L13" s="1298"/>
      <c r="M13" s="1299"/>
    </row>
    <row r="14" spans="1:37" ht="18" customHeight="1">
      <c r="A14" s="928" t="s">
        <v>397</v>
      </c>
      <c r="B14" s="294" t="s">
        <v>701</v>
      </c>
      <c r="C14" s="310">
        <f ca="1">INDIRECT("'数据-取费表'!m"&amp;$G$1)+INDIRECT("'数据-取费表'!t"&amp;$G$1)</f>
        <v>32517</v>
      </c>
      <c r="D14" s="1256" t="s">
        <v>702</v>
      </c>
      <c r="E14" s="1254"/>
      <c r="F14" s="311"/>
      <c r="G14" s="1291"/>
      <c r="H14" s="928" t="s">
        <v>398</v>
      </c>
      <c r="I14" s="294" t="s">
        <v>703</v>
      </c>
      <c r="J14" s="21">
        <f ca="1">C29</f>
        <v>52143</v>
      </c>
      <c r="K14" s="12"/>
      <c r="L14" s="759"/>
      <c r="M14" s="760"/>
    </row>
    <row r="15" spans="1:37" s="1303" customFormat="1" ht="18" customHeight="1" thickBot="1">
      <c r="A15" s="928" t="s">
        <v>399</v>
      </c>
      <c r="B15" s="294" t="s">
        <v>704</v>
      </c>
      <c r="C15" s="21">
        <f ca="1">ROUND(C14*F15,0)</f>
        <v>976</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ROUND(INDIRECT("'数据-取费表'!m"&amp;$G$1)*F16,0)</f>
        <v>3252</v>
      </c>
      <c r="D16" s="294" t="s">
        <v>705</v>
      </c>
      <c r="E16" s="294" t="s">
        <v>706</v>
      </c>
      <c r="F16" s="314">
        <f ca="1">IF(INDIRECT("'数据-取费表'!c"&amp;$G$1)="住宅",'数据-取费表'!B34,0)</f>
        <v>0.1</v>
      </c>
      <c r="G16" s="1291"/>
      <c r="H16" s="1016" t="s">
        <v>393</v>
      </c>
      <c r="I16" s="1017" t="s">
        <v>708</v>
      </c>
      <c r="J16" s="302">
        <f ca="1">ROUND(J17+J22+J23+J24,0)</f>
        <v>521</v>
      </c>
      <c r="K16" s="1024" t="s">
        <v>709</v>
      </c>
      <c r="L16" s="1025"/>
      <c r="M16" s="1009"/>
    </row>
    <row r="17" spans="1:37" s="1303" customFormat="1" ht="18" customHeight="1">
      <c r="A17" s="928" t="s">
        <v>675</v>
      </c>
      <c r="B17" s="294" t="s">
        <v>710</v>
      </c>
      <c r="C17" s="21">
        <f ca="1">ROUND(F17*(F43+INDIRECT("'数据-取费表'!S"&amp;$G$1))/10000,0)</f>
        <v>1711</v>
      </c>
      <c r="D17" s="294" t="s">
        <v>711</v>
      </c>
      <c r="E17" s="294" t="s">
        <v>712</v>
      </c>
      <c r="F17" s="23">
        <f>'数据-取费表'!B35</f>
        <v>200</v>
      </c>
      <c r="G17" s="1302"/>
      <c r="H17" s="928" t="s">
        <v>398</v>
      </c>
      <c r="I17" s="294" t="s">
        <v>713</v>
      </c>
      <c r="J17" s="2136">
        <f ca="1">ROUND(IF(AND(项目基本情况!B11="自然人",项目基本情况!B10="北京市"),J6*M17/(1+'数据-取费表'!C42),J18+J19+J20),2)</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488</v>
      </c>
      <c r="D18" s="294" t="s">
        <v>705</v>
      </c>
      <c r="E18" s="294" t="s">
        <v>706</v>
      </c>
      <c r="F18" s="314">
        <f>'数据-取费表'!B36</f>
        <v>1.4999999999999999E-2</v>
      </c>
      <c r="G18" s="1302"/>
      <c r="H18" s="928" t="s">
        <v>397</v>
      </c>
      <c r="I18" s="294" t="s">
        <v>717</v>
      </c>
      <c r="J18" s="21">
        <f ca="1">ROUND(J6*M18/(1+'数据-取费表'!C42),2)</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38944</v>
      </c>
      <c r="D19" s="123" t="s">
        <v>720</v>
      </c>
      <c r="E19" s="1268"/>
      <c r="F19" s="23"/>
      <c r="G19" s="1291"/>
      <c r="H19" s="928" t="s">
        <v>399</v>
      </c>
      <c r="I19" s="294" t="s">
        <v>721</v>
      </c>
      <c r="J19" s="21">
        <f ca="1">IF(K19="按租金收入计税",ROUND(J6*M19/(1+'数据-取费表'!C42),2),ROUND(C29*M19*0.7,2))</f>
        <v>0</v>
      </c>
      <c r="K19" s="1277" t="s">
        <v>3334</v>
      </c>
      <c r="L19" s="294" t="s">
        <v>706</v>
      </c>
      <c r="M19" s="314">
        <f>IF(K19="按租金收入计税",'数据-取费表'!B51,'数据-取费表'!B50)</f>
        <v>0.12</v>
      </c>
    </row>
    <row r="20" spans="1:37" s="1303" customFormat="1" ht="18" customHeight="1">
      <c r="A20" s="928" t="s">
        <v>402</v>
      </c>
      <c r="B20" s="294" t="s">
        <v>722</v>
      </c>
      <c r="C20" s="21">
        <f ca="1">ROUND(C19*F20,0)</f>
        <v>1168</v>
      </c>
      <c r="D20" s="315" t="s">
        <v>723</v>
      </c>
      <c r="E20" s="294" t="s">
        <v>706</v>
      </c>
      <c r="F20" s="314">
        <f>'数据-取费表'!B37</f>
        <v>0.03</v>
      </c>
      <c r="G20" s="1302"/>
      <c r="H20" s="928" t="s">
        <v>674</v>
      </c>
      <c r="I20" s="147" t="s">
        <v>724</v>
      </c>
      <c r="J20" s="22">
        <f ca="1">ROUND(M20*M21/10000,2)</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15</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ROUND(J14*M22,2)</f>
        <v>521.42999999999995</v>
      </c>
      <c r="K22" s="1255" t="s">
        <v>733</v>
      </c>
      <c r="L22" s="294" t="s">
        <v>706</v>
      </c>
      <c r="M22" s="320">
        <f ca="1">INDIRECT("'数据-取费表'!Ak"&amp;$G$1)</f>
        <v>0.01</v>
      </c>
    </row>
    <row r="23" spans="1:37" s="1303" customFormat="1" ht="18" customHeight="1">
      <c r="A23" s="928" t="s">
        <v>397</v>
      </c>
      <c r="B23" s="294" t="s">
        <v>734</v>
      </c>
      <c r="C23" s="21">
        <f ca="1">IF('数据-取费表'!B22&lt;=1,ROUND(C19*F24*F23/2,0)+ROUND(C20*F24*F23/2,0),ROUND(C19*(POWER((1+F24),F23/2)-1),0)+ROUND(C20*(POWER((1+F24),F23/2)-1),0))</f>
        <v>1384</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ROUND(J13*M23,2)</f>
        <v>0</v>
      </c>
      <c r="K23" s="1255" t="s">
        <v>737</v>
      </c>
      <c r="L23" s="294" t="s">
        <v>738</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739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678</v>
      </c>
      <c r="I24" s="1027" t="s">
        <v>722</v>
      </c>
      <c r="J24" s="1028">
        <f ca="1">ROUND(J5*M24,2)</f>
        <v>0</v>
      </c>
      <c r="K24" s="1029" t="s">
        <v>742</v>
      </c>
      <c r="L24" s="1027" t="s">
        <v>738</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f ca="1">J5-J16</f>
        <v>-521</v>
      </c>
      <c r="K25" s="1032" t="s">
        <v>747</v>
      </c>
      <c r="L25" s="1033"/>
      <c r="M25" s="1034"/>
    </row>
    <row r="26" spans="1:37">
      <c r="A26" s="928" t="s">
        <v>397</v>
      </c>
      <c r="B26" s="294" t="s">
        <v>748</v>
      </c>
      <c r="C26" s="21">
        <f ca="1">ROUND((C19+C20)*F26,0)</f>
        <v>6017</v>
      </c>
      <c r="D26" s="315" t="s">
        <v>749</v>
      </c>
      <c r="E26" s="305" t="s">
        <v>750</v>
      </c>
      <c r="F26" s="304">
        <f ca="1">INDIRECT("'数据-取费表'!q"&amp;$G$1)</f>
        <v>0.15</v>
      </c>
      <c r="G26" s="1291"/>
      <c r="H26" s="291" t="s">
        <v>395</v>
      </c>
      <c r="I26" s="292" t="s">
        <v>751</v>
      </c>
      <c r="J26" s="293">
        <f ca="1">IF(J5&lt;&gt;0,ROUND(J25*(1-((1+M28)/(1+M26))^M27)/(M26-M28),0),0)</f>
        <v>0</v>
      </c>
      <c r="K26" s="316" t="s">
        <v>752</v>
      </c>
      <c r="L26" s="294" t="s">
        <v>753</v>
      </c>
      <c r="M26" s="304">
        <f ca="1">INDIRECT("'数据-取费表'!I"&amp;$G$1)</f>
        <v>0.05</v>
      </c>
    </row>
    <row r="27" spans="1:37" ht="18" customHeight="1">
      <c r="A27" s="928" t="s">
        <v>399</v>
      </c>
      <c r="B27" s="294" t="s">
        <v>754</v>
      </c>
      <c r="C27" s="21">
        <f ca="1">ROUND(F21*F26,4)</f>
        <v>4.4999999999999997E-3</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52143</v>
      </c>
      <c r="D29" s="1029"/>
      <c r="E29" s="1027"/>
      <c r="F29" s="1030"/>
      <c r="G29" s="1302"/>
      <c r="H29" s="325" t="s">
        <v>396</v>
      </c>
      <c r="I29" s="326" t="s">
        <v>762</v>
      </c>
      <c r="J29" s="327">
        <f ca="1">ROUND(J26/(1+F40)^F41,0)</f>
        <v>0</v>
      </c>
      <c r="K29" s="328" t="s">
        <v>763</v>
      </c>
      <c r="L29" s="329"/>
      <c r="M29" s="330">
        <f ca="1">INDIRECT("'数据-取费表'!k"&amp;$G$1)</f>
        <v>85571.080000000016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16990</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ROUND(IF(AND(项目基本情况!B11="自然人",项目基本情况!B10="北京市"),C6*F31/(1+'数据-取费表'!C42),C32+C33+C34),2)</f>
        <v>15490.85</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IF(项目基本情况!B11="自然人","——",ROUND(C6*F32/(1+'数据-取费表'!C42),2))</f>
        <v>4928.91</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IF(项目基本情况!B11="自然人","——",IF(D33="按租金收入计税",ROUND(C6*F33/(1+'数据-取费表'!C42),2),IF(D33="按房产原值计税",ROUND(C29*F33*0.7,2),INDIRECT("'数据-取费表'!Aj"&amp;$G$1))))</f>
        <v>10561.94</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IF(项目基本情况!B11="自然人","——",ROUND(F34*F35/10000,2))</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ROUND(C29*F36,2)</f>
        <v>521.42999999999995</v>
      </c>
      <c r="D36" s="1255" t="s">
        <v>765</v>
      </c>
      <c r="E36" s="294" t="s">
        <v>706</v>
      </c>
      <c r="F36" s="320">
        <f ca="1">INDIRECT("'数据-取费表'!Ak"&amp;$G$1)</f>
        <v>0.01</v>
      </c>
      <c r="G36" s="1291"/>
      <c r="H36" s="2468"/>
      <c r="I36" s="1304"/>
      <c r="J36" s="1305"/>
      <c r="K36" s="2326"/>
      <c r="L36" s="2468"/>
      <c r="M36" s="2468"/>
    </row>
    <row r="37" spans="1:18" ht="18" customHeight="1">
      <c r="A37" s="928" t="s">
        <v>437</v>
      </c>
      <c r="B37" s="294" t="s">
        <v>736</v>
      </c>
      <c r="C37" s="21">
        <f ca="1">ROUND(C13*F37,2)</f>
        <v>52.14</v>
      </c>
      <c r="D37" s="1255" t="s">
        <v>737</v>
      </c>
      <c r="E37" s="294" t="s">
        <v>738</v>
      </c>
      <c r="F37" s="321">
        <f ca="1">INDIRECT("'数据-取费表'!Al"&amp;$G$1)</f>
        <v>1E-3</v>
      </c>
      <c r="G37" s="1291"/>
      <c r="H37" s="2468"/>
      <c r="I37" s="1304"/>
      <c r="J37" s="1305"/>
      <c r="K37" s="2326"/>
      <c r="L37" s="2468"/>
      <c r="M37" s="2468"/>
    </row>
    <row r="38" spans="1:18" ht="18" customHeight="1" thickBot="1">
      <c r="A38" s="1026" t="s">
        <v>678</v>
      </c>
      <c r="B38" s="1027" t="s">
        <v>722</v>
      </c>
      <c r="C38" s="1028">
        <f ca="1">ROUND(C5*F38,2)</f>
        <v>925.33</v>
      </c>
      <c r="D38" s="1029" t="s">
        <v>742</v>
      </c>
      <c r="E38" s="1027" t="s">
        <v>738</v>
      </c>
      <c r="F38" s="1023">
        <f ca="1">INDIRECT("'数据-取费表'!Am"&amp;$G$1)</f>
        <v>0.01</v>
      </c>
      <c r="G38" s="1291"/>
      <c r="H38" s="2468"/>
      <c r="I38" s="1304"/>
      <c r="J38" s="1305"/>
      <c r="K38" s="2466"/>
      <c r="L38" s="2468"/>
      <c r="M38" s="2468"/>
    </row>
    <row r="39" spans="1:18" ht="24.6" customHeight="1" thickTop="1">
      <c r="A39" s="1016" t="s">
        <v>394</v>
      </c>
      <c r="B39" s="1031" t="s">
        <v>766</v>
      </c>
      <c r="C39" s="302">
        <f ca="1">C5-C30</f>
        <v>75543</v>
      </c>
      <c r="D39" s="1032" t="s">
        <v>767</v>
      </c>
      <c r="E39" s="1033"/>
      <c r="F39" s="1034"/>
      <c r="G39" s="1291"/>
      <c r="H39" s="2468"/>
      <c r="I39" s="1304"/>
      <c r="J39" s="1305"/>
      <c r="K39" s="2466"/>
      <c r="L39" s="2468"/>
      <c r="M39" s="2468"/>
    </row>
    <row r="40" spans="1:18" ht="18" customHeight="1">
      <c r="A40" s="291" t="s">
        <v>395</v>
      </c>
      <c r="B40" s="292" t="s">
        <v>768</v>
      </c>
      <c r="C40" s="293">
        <f ca="1">ROUND(C39*(1-((1+F42)/(1+F40))^F41)/(F40-F42),0)</f>
        <v>2142176</v>
      </c>
      <c r="D40" s="316" t="s">
        <v>752</v>
      </c>
      <c r="E40" s="294" t="s">
        <v>753</v>
      </c>
      <c r="F40" s="304">
        <f ca="1">INDIRECT("'数据-取费表'!I"&amp;$G$1)</f>
        <v>0.05</v>
      </c>
      <c r="G40" s="1291"/>
      <c r="H40" s="1365"/>
      <c r="I40" s="1304"/>
      <c r="J40" s="1305"/>
      <c r="K40" s="2466"/>
      <c r="L40" s="1365"/>
      <c r="M40" s="1365"/>
    </row>
    <row r="41" spans="1:18" ht="18" customHeight="1">
      <c r="A41" s="296"/>
      <c r="B41" s="297"/>
      <c r="C41" s="298"/>
      <c r="D41" s="323" t="s">
        <v>769</v>
      </c>
      <c r="E41" s="294" t="s">
        <v>757</v>
      </c>
      <c r="F41" s="324">
        <f ca="1">IF(INDIRECT("'数据-取费表'!af"&amp;$G$1)=0,INDIRECT("'数据-取费表'!ae"&amp;$G$1),INDIRECT("'数据-取费表'!af"&amp;$G$1))</f>
        <v>65.61</v>
      </c>
      <c r="G41" s="1291"/>
      <c r="H41" s="121"/>
      <c r="I41" s="1304"/>
      <c r="J41" s="1305"/>
      <c r="K41" s="2326"/>
      <c r="L41" s="121"/>
      <c r="M41" s="121"/>
    </row>
    <row r="42" spans="1:18" ht="18" customHeight="1">
      <c r="A42" s="300"/>
      <c r="B42" s="301"/>
      <c r="C42" s="302"/>
      <c r="D42" s="319"/>
      <c r="E42" s="294" t="s">
        <v>760</v>
      </c>
      <c r="F42" s="304">
        <f ca="1">INDIRECT("'数据-取费表'!v"&amp;$G$1)</f>
        <v>0.02</v>
      </c>
      <c r="G42" s="1291"/>
      <c r="H42" s="121"/>
      <c r="I42" s="1304"/>
      <c r="J42" s="1305"/>
      <c r="K42" s="2326"/>
      <c r="L42" s="121"/>
      <c r="M42" s="121"/>
    </row>
    <row r="43" spans="1:18" ht="18" customHeight="1" thickBot="1">
      <c r="A43" s="325" t="s">
        <v>396</v>
      </c>
      <c r="B43" s="326" t="s">
        <v>770</v>
      </c>
      <c r="C43" s="327">
        <f ca="1">ROUND(C40*10000/F43,0)</f>
        <v>250339</v>
      </c>
      <c r="D43" s="328" t="s">
        <v>771</v>
      </c>
      <c r="E43" s="329" t="s">
        <v>772</v>
      </c>
      <c r="F43" s="330">
        <f ca="1">INDIRECT("'数据-取费表'!k"&amp;$G$1)</f>
        <v>85571.080000000016</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f ca="1">C68-C40</f>
        <v>-2153189</v>
      </c>
      <c r="D46" s="1312" t="str">
        <f>C2</f>
        <v>万元</v>
      </c>
      <c r="E46" s="1306"/>
      <c r="F46" s="1306"/>
      <c r="I46" s="1313" t="s">
        <v>804</v>
      </c>
      <c r="J46" s="1314"/>
      <c r="K46" s="1315"/>
      <c r="L46" s="1316">
        <f>IF(M47="住宅",0,IF(L48&gt;J51,L60,J60))</f>
        <v>0</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f ca="1">INDIRECT("'数据-取费表'!d"&amp;$G$1)</f>
        <v>70</v>
      </c>
      <c r="M47" s="1287" t="str">
        <f>IF(ISNUMBER(FIND("住宅",C1)),"住宅","非住宅")</f>
        <v>住宅</v>
      </c>
      <c r="O47" s="1324" t="s">
        <v>403</v>
      </c>
      <c r="P47" s="1325" t="s">
        <v>811</v>
      </c>
      <c r="Q47" s="1326">
        <f ca="1">C40+J29</f>
        <v>2142176</v>
      </c>
      <c r="R47" s="1326" t="s">
        <v>812</v>
      </c>
    </row>
    <row r="48" spans="1:18" s="1291" customFormat="1" ht="28.5" thickBot="1">
      <c r="A48" s="1047" t="s">
        <v>438</v>
      </c>
      <c r="B48" s="292" t="s">
        <v>686</v>
      </c>
      <c r="C48" s="1267">
        <f ca="1">C49+C53+C55</f>
        <v>0</v>
      </c>
      <c r="D48" s="1049"/>
      <c r="E48" s="1050"/>
      <c r="F48" s="908"/>
      <c r="G48" s="681"/>
      <c r="H48" s="682"/>
      <c r="I48" s="1327" t="s">
        <v>813</v>
      </c>
      <c r="J48" s="1328" t="s">
        <v>3422</v>
      </c>
      <c r="K48" s="1329" t="s">
        <v>814</v>
      </c>
      <c r="L48" s="1330">
        <f ca="1">INDIRECT("'数据-取费表'!f"&amp;$G$1)</f>
        <v>65.61</v>
      </c>
      <c r="O48" s="1324" t="s">
        <v>404</v>
      </c>
      <c r="P48" s="1325" t="s">
        <v>815</v>
      </c>
      <c r="Q48" s="1326" t="str">
        <f ca="1">J60</f>
        <v>0</v>
      </c>
      <c r="R48" s="1326" t="s">
        <v>816</v>
      </c>
    </row>
    <row r="49" spans="1:18" s="1291" customFormat="1" ht="13.5" thickBot="1">
      <c r="A49" s="921" t="s">
        <v>439</v>
      </c>
      <c r="B49" s="1278" t="s">
        <v>773</v>
      </c>
      <c r="C49" s="1051">
        <f ca="1">ROUND(F49*F51*F50*(1-F52)/10000,0)</f>
        <v>0</v>
      </c>
      <c r="D49" s="992" t="s">
        <v>2104</v>
      </c>
      <c r="E49" s="1279" t="s">
        <v>774</v>
      </c>
      <c r="F49" s="997"/>
      <c r="H49" s="682"/>
      <c r="I49" s="1327" t="s">
        <v>817</v>
      </c>
      <c r="J49" s="1331">
        <f>'数据-取费表'!N18</f>
        <v>2023</v>
      </c>
      <c r="K49" s="1329" t="s">
        <v>818</v>
      </c>
      <c r="L49" s="1332"/>
      <c r="O49" s="1333" t="s">
        <v>405</v>
      </c>
      <c r="P49" s="1325" t="s">
        <v>819</v>
      </c>
      <c r="Q49" s="1326">
        <f ca="1">C29</f>
        <v>52143</v>
      </c>
      <c r="R49" s="1326" t="s">
        <v>812</v>
      </c>
    </row>
    <row r="50" spans="1:18" s="1291" customFormat="1" ht="13.5" thickBot="1">
      <c r="A50" s="922"/>
      <c r="B50" s="925"/>
      <c r="C50" s="1055"/>
      <c r="D50" s="899"/>
      <c r="E50" s="993" t="s">
        <v>691</v>
      </c>
      <c r="F50" s="994">
        <f ca="1">F7</f>
        <v>85571.080000000016</v>
      </c>
      <c r="H50" s="682"/>
      <c r="I50" s="1327" t="s">
        <v>820</v>
      </c>
      <c r="J50" s="1334">
        <f>SUMPRODUCT((I63:I65=J47)*(J62:L62=J48)*(J63:L65))</f>
        <v>60</v>
      </c>
      <c r="K50" s="1329" t="s">
        <v>821</v>
      </c>
      <c r="L50" s="1332"/>
      <c r="M50" s="1335"/>
      <c r="O50" s="1333" t="s">
        <v>406</v>
      </c>
      <c r="P50" s="1325" t="s">
        <v>822</v>
      </c>
      <c r="Q50" s="1336" t="e">
        <f ca="1">J58</f>
        <v>#VALUE!</v>
      </c>
      <c r="R50" s="1326"/>
    </row>
    <row r="51" spans="1:18" s="1291" customFormat="1" ht="13.5" thickBot="1">
      <c r="A51" s="923"/>
      <c r="B51" s="925"/>
      <c r="C51" s="926"/>
      <c r="D51" s="899"/>
      <c r="E51" s="927" t="s">
        <v>692</v>
      </c>
      <c r="F51" s="295">
        <f ca="1">F8</f>
        <v>12</v>
      </c>
      <c r="I51" s="1337" t="s">
        <v>823</v>
      </c>
      <c r="J51" s="1330">
        <f>IF(J49="",J50,J49+J50-YEAR('数据-取费表'!B2))</f>
        <v>60</v>
      </c>
      <c r="K51" s="1338" t="s">
        <v>824</v>
      </c>
      <c r="L51" s="1339">
        <f ca="1">ROUND(-PV(INDIRECT("'数据-取费表'!h"&amp;$G$1),J51,(C39-C13*C76),0),0)</f>
        <v>1483729</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f ca="1">J53</f>
        <v>65.61</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f ca="1">IF(M47="住宅",IF(D1="——",MAX(J51,L48),MAX(J51,L48-'数据-取费表'!B24)),IF(D1="——",MIN(J51,L48),MIN(J51,L48-'数据-取费表'!B24)))</f>
        <v>65.61</v>
      </c>
      <c r="K53" s="3513" t="s">
        <v>831</v>
      </c>
      <c r="L53" s="3514"/>
      <c r="O53" s="1324" t="s">
        <v>409</v>
      </c>
      <c r="P53" s="1325" t="s">
        <v>832</v>
      </c>
      <c r="Q53" s="1326">
        <f ca="1">Q47+Q48</f>
        <v>2142176</v>
      </c>
      <c r="R53" s="1326" t="s">
        <v>410</v>
      </c>
    </row>
    <row r="54" spans="1:18" s="1291" customFormat="1" ht="13.5" thickBot="1">
      <c r="A54" s="1080"/>
      <c r="B54" s="1274" t="s">
        <v>673</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#VALUE!</v>
      </c>
      <c r="K55" s="1349" t="s">
        <v>835</v>
      </c>
      <c r="L55" s="1350"/>
      <c r="O55" s="1317" t="s">
        <v>805</v>
      </c>
      <c r="P55" s="1318" t="s">
        <v>806</v>
      </c>
      <c r="Q55" s="1319" t="s">
        <v>807</v>
      </c>
      <c r="R55" s="1319" t="s">
        <v>808</v>
      </c>
    </row>
    <row r="56" spans="1:18" s="1291" customFormat="1" ht="25.5" thickTop="1" thickBot="1">
      <c r="A56" s="903">
        <v>2</v>
      </c>
      <c r="B56" s="904" t="s">
        <v>698</v>
      </c>
      <c r="C56" s="224">
        <f ca="1">C13</f>
        <v>52143</v>
      </c>
      <c r="D56" s="1351"/>
      <c r="E56" s="1352"/>
      <c r="F56" s="1344"/>
      <c r="I56" s="1353" t="s">
        <v>836</v>
      </c>
      <c r="J56" s="1354" t="s">
        <v>3383</v>
      </c>
      <c r="K56" s="1327" t="s">
        <v>837</v>
      </c>
      <c r="L56" s="1330">
        <f ca="1">IF(L48&lt;J51,"——",L48-J53)</f>
        <v>0</v>
      </c>
      <c r="O56" s="1324" t="s">
        <v>403</v>
      </c>
      <c r="P56" s="1325" t="s">
        <v>811</v>
      </c>
      <c r="Q56" s="1326">
        <f ca="1">C40+J29</f>
        <v>2142176</v>
      </c>
      <c r="R56" s="1326" t="s">
        <v>812</v>
      </c>
    </row>
    <row r="57" spans="1:18" s="1291" customFormat="1" ht="24.75" thickBot="1">
      <c r="A57" s="1355"/>
      <c r="B57" s="896" t="s">
        <v>761</v>
      </c>
      <c r="C57" s="230">
        <f ca="1">C29</f>
        <v>52143</v>
      </c>
      <c r="D57" s="1356"/>
      <c r="E57" s="1357"/>
      <c r="F57" s="1358"/>
      <c r="I57" s="1359" t="s">
        <v>838</v>
      </c>
      <c r="J57" s="1360" t="str">
        <f ca="1">IF(OR(M47="住宅",J51&lt;L48,J56="是"),"——",J51-L48)</f>
        <v>——</v>
      </c>
      <c r="K57" s="1327" t="s">
        <v>839</v>
      </c>
      <c r="L57" s="1330">
        <f ca="1">IF(L48&lt;J51,"——",IF(L55="比较法",L49,IF(L55="基准地价",L50,L51)))</f>
        <v>1483729</v>
      </c>
      <c r="O57" s="1324" t="s">
        <v>404</v>
      </c>
      <c r="P57" s="1325" t="s">
        <v>840</v>
      </c>
      <c r="Q57" s="1326">
        <f ca="1">L60</f>
        <v>0</v>
      </c>
      <c r="R57" s="1326" t="s">
        <v>841</v>
      </c>
    </row>
    <row r="58" spans="1:18" s="1291" customFormat="1" ht="24.75" thickBot="1">
      <c r="A58" s="307" t="s">
        <v>393</v>
      </c>
      <c r="B58" s="904" t="s">
        <v>708</v>
      </c>
      <c r="C58" s="308">
        <f ca="1">ROUND(C59+C64+C65+C66,0)</f>
        <v>574</v>
      </c>
      <c r="D58" s="906" t="s">
        <v>709</v>
      </c>
      <c r="E58" s="907"/>
      <c r="F58" s="908"/>
      <c r="I58" s="1359" t="s">
        <v>842</v>
      </c>
      <c r="J58" s="1361" t="e">
        <f ca="1">IF(J55&lt;0.4,0.4,J55)</f>
        <v>#VALUE!</v>
      </c>
      <c r="K58" s="1338" t="s">
        <v>843</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IF(项目基本情况!B11="自然人","——",ROUND(C48*F60/(1+'数据-取费表'!C42),2))</f>
        <v>0</v>
      </c>
      <c r="D60" s="910" t="s">
        <v>718</v>
      </c>
      <c r="E60" s="896" t="s">
        <v>706</v>
      </c>
      <c r="F60" s="322">
        <f t="shared" ref="F60:F66" si="0">F32</f>
        <v>5.6000000000000001E-2</v>
      </c>
      <c r="I60" s="1362" t="s">
        <v>847</v>
      </c>
      <c r="J60" s="1363" t="str">
        <f ca="1">IF(OR(M47="住宅",J51&lt;L48,J56="是"),"0",ROUND(J59/(1+J52)^J53,0))</f>
        <v>0</v>
      </c>
      <c r="K60" s="1364" t="s">
        <v>848</v>
      </c>
      <c r="L60" s="1363">
        <f ca="1">IF(OR(M47="住宅",L48&lt;J51),0,ROUND(L57*(L58/L59-1),0))</f>
        <v>0</v>
      </c>
      <c r="O60" s="1333" t="s">
        <v>407</v>
      </c>
      <c r="P60" s="1325" t="s">
        <v>849</v>
      </c>
      <c r="Q60" s="1326" t="e">
        <f ca="1">L58</f>
        <v>#DIV/0!</v>
      </c>
      <c r="R60" s="1326" t="s">
        <v>850</v>
      </c>
    </row>
    <row r="61" spans="1:18" s="1291" customFormat="1" ht="13.5" thickBot="1">
      <c r="A61" s="928" t="s">
        <v>775</v>
      </c>
      <c r="B61" s="896" t="s">
        <v>776</v>
      </c>
      <c r="C61" s="21">
        <f ca="1">IF(项目基本情况!B11="自然人","——",IF(D61="按租金收入计税",ROUND(C49*F61/(1+'数据-取费表'!C42),2),IF(D61="按房产原值计税",ROUND(C57*F61*0.7,2),INDIRECT("'数据-取费表'!Aj"&amp;$G$1))))</f>
        <v>0</v>
      </c>
      <c r="D61" s="1277" t="s">
        <v>3334</v>
      </c>
      <c r="E61" s="896" t="s">
        <v>777</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779</v>
      </c>
      <c r="C62" s="22">
        <f ca="1">IF(项目基本情况!B11="自然人","——",ROUND(F62*F63/10000,2))</f>
        <v>0</v>
      </c>
      <c r="D62" s="911" t="s">
        <v>780</v>
      </c>
      <c r="E62" s="896" t="s">
        <v>781</v>
      </c>
      <c r="F62" s="317">
        <f t="shared" si="0"/>
        <v>0</v>
      </c>
      <c r="I62" s="1366" t="s">
        <v>852</v>
      </c>
      <c r="J62" s="610" t="s">
        <v>853</v>
      </c>
      <c r="K62" s="610" t="s">
        <v>854</v>
      </c>
      <c r="L62" s="610" t="s">
        <v>855</v>
      </c>
      <c r="M62" s="1367" t="s">
        <v>856</v>
      </c>
      <c r="O62" s="1324" t="s">
        <v>409</v>
      </c>
      <c r="P62" s="1325" t="s">
        <v>857</v>
      </c>
      <c r="Q62" s="1326">
        <f ca="1">Q56+Q57</f>
        <v>2142176</v>
      </c>
      <c r="R62" s="1326" t="s">
        <v>410</v>
      </c>
    </row>
    <row r="63" spans="1:18" s="1291" customFormat="1" ht="13.5" thickBot="1">
      <c r="A63" s="318"/>
      <c r="B63" s="902"/>
      <c r="C63" s="26"/>
      <c r="D63" s="912"/>
      <c r="E63" s="896" t="s">
        <v>782</v>
      </c>
      <c r="F63" s="295">
        <f t="shared" ca="1" si="0"/>
        <v>0</v>
      </c>
      <c r="I63" s="1366" t="s">
        <v>858</v>
      </c>
      <c r="J63" s="610">
        <v>70</v>
      </c>
      <c r="K63" s="610">
        <v>50</v>
      </c>
      <c r="L63" s="610">
        <v>80</v>
      </c>
      <c r="M63" s="1368">
        <v>0.02</v>
      </c>
      <c r="O63" s="1309" t="s">
        <v>859</v>
      </c>
      <c r="P63" s="1288"/>
      <c r="Q63" s="1288"/>
      <c r="R63" s="1288"/>
    </row>
    <row r="64" spans="1:18" s="1291" customFormat="1" ht="13.5" thickBot="1">
      <c r="A64" s="928" t="s">
        <v>783</v>
      </c>
      <c r="B64" s="896" t="s">
        <v>784</v>
      </c>
      <c r="C64" s="21">
        <f ca="1">ROUND(C57*F64,2)</f>
        <v>521.42999999999995</v>
      </c>
      <c r="D64" s="910" t="s">
        <v>785</v>
      </c>
      <c r="E64" s="896" t="s">
        <v>777</v>
      </c>
      <c r="F64" s="320">
        <f t="shared" ca="1" si="0"/>
        <v>0.01</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ROUND(C56*F65,2)</f>
        <v>52.14</v>
      </c>
      <c r="D65" s="910" t="s">
        <v>737</v>
      </c>
      <c r="E65" s="896" t="s">
        <v>738</v>
      </c>
      <c r="F65" s="321">
        <f t="shared" ca="1" si="0"/>
        <v>1E-3</v>
      </c>
      <c r="I65" s="1366" t="s">
        <v>861</v>
      </c>
      <c r="J65" s="610">
        <v>40</v>
      </c>
      <c r="K65" s="610">
        <v>30</v>
      </c>
      <c r="L65" s="610">
        <v>50</v>
      </c>
      <c r="M65" s="1368">
        <v>0.02</v>
      </c>
      <c r="O65" s="1324" t="s">
        <v>403</v>
      </c>
      <c r="P65" s="1325" t="s">
        <v>862</v>
      </c>
      <c r="Q65" s="1326">
        <f ca="1">C40+J29</f>
        <v>2142176</v>
      </c>
      <c r="R65" s="1326" t="s">
        <v>812</v>
      </c>
    </row>
    <row r="66" spans="1:18" s="1291" customFormat="1" ht="16.5" thickBot="1">
      <c r="A66" s="928" t="s">
        <v>787</v>
      </c>
      <c r="B66" s="896" t="s">
        <v>722</v>
      </c>
      <c r="C66" s="21">
        <f ca="1">ROUND(C48*F66,2)</f>
        <v>0</v>
      </c>
      <c r="D66" s="910" t="s">
        <v>788</v>
      </c>
      <c r="E66" s="896" t="s">
        <v>706</v>
      </c>
      <c r="F66" s="304">
        <f t="shared" ca="1" si="0"/>
        <v>0.01</v>
      </c>
      <c r="O66" s="1324" t="s">
        <v>404</v>
      </c>
      <c r="P66" s="1325" t="s">
        <v>840</v>
      </c>
      <c r="Q66" s="1326">
        <f ca="1">L60</f>
        <v>0</v>
      </c>
      <c r="R66" s="1326" t="s">
        <v>863</v>
      </c>
    </row>
    <row r="67" spans="1:18" s="1291" customFormat="1" ht="16.5" thickBot="1">
      <c r="A67" s="903" t="s">
        <v>394</v>
      </c>
      <c r="B67" s="913" t="s">
        <v>746</v>
      </c>
      <c r="C67" s="308">
        <f ca="1">C48-C58</f>
        <v>-574</v>
      </c>
      <c r="D67" s="909" t="s">
        <v>747</v>
      </c>
      <c r="E67" s="914"/>
      <c r="F67" s="915"/>
      <c r="O67" s="1333" t="s">
        <v>405</v>
      </c>
      <c r="P67" s="1325" t="s">
        <v>844</v>
      </c>
      <c r="Q67" s="1369">
        <f ca="1">L51</f>
        <v>1483729</v>
      </c>
      <c r="R67" s="1326" t="s">
        <v>864</v>
      </c>
    </row>
    <row r="68" spans="1:18" s="1291" customFormat="1" ht="16.5" thickBot="1">
      <c r="A68" s="893" t="s">
        <v>395</v>
      </c>
      <c r="B68" s="894" t="s">
        <v>768</v>
      </c>
      <c r="C68" s="293">
        <f ca="1">ROUND(C67*(1-((1+F70)/(1+F68))^F69)/(F68-F70),0)</f>
        <v>-11013</v>
      </c>
      <c r="D68" s="911" t="s">
        <v>752</v>
      </c>
      <c r="E68" s="896" t="s">
        <v>753</v>
      </c>
      <c r="F68" s="304">
        <f ca="1">F40</f>
        <v>0.05</v>
      </c>
      <c r="O68" s="1333" t="s">
        <v>406</v>
      </c>
      <c r="P68" s="1370" t="s">
        <v>865</v>
      </c>
      <c r="Q68" s="1326">
        <f ca="1">ROUND(Q69-Q70*Q71,0)</f>
        <v>71893</v>
      </c>
      <c r="R68" s="1326" t="s">
        <v>414</v>
      </c>
    </row>
    <row r="69" spans="1:18" s="1291" customFormat="1" ht="13.5" thickBot="1">
      <c r="A69" s="897"/>
      <c r="B69" s="898"/>
      <c r="C69" s="298"/>
      <c r="D69" s="916" t="s">
        <v>756</v>
      </c>
      <c r="E69" s="896" t="s">
        <v>757</v>
      </c>
      <c r="F69" s="324">
        <f ca="1">F41</f>
        <v>65.61</v>
      </c>
      <c r="O69" s="1333" t="s">
        <v>411</v>
      </c>
      <c r="P69" s="1370" t="s">
        <v>866</v>
      </c>
      <c r="Q69" s="1326">
        <f ca="1">C39</f>
        <v>75543</v>
      </c>
      <c r="R69" s="1326" t="s">
        <v>812</v>
      </c>
    </row>
    <row r="70" spans="1:18" s="1291" customFormat="1" ht="13.5" thickBot="1">
      <c r="A70" s="900"/>
      <c r="B70" s="901"/>
      <c r="C70" s="302"/>
      <c r="D70" s="912"/>
      <c r="E70" s="896" t="s">
        <v>760</v>
      </c>
      <c r="F70" s="991"/>
      <c r="O70" s="1333" t="s">
        <v>412</v>
      </c>
      <c r="P70" s="1370" t="s">
        <v>867</v>
      </c>
      <c r="Q70" s="1326">
        <f ca="1">C13</f>
        <v>52143</v>
      </c>
      <c r="R70" s="1326" t="s">
        <v>812</v>
      </c>
    </row>
    <row r="71" spans="1:18" s="1291" customFormat="1" ht="13.5" thickBot="1">
      <c r="A71" s="917" t="s">
        <v>396</v>
      </c>
      <c r="B71" s="918" t="s">
        <v>770</v>
      </c>
      <c r="C71" s="327">
        <f ca="1">ROUND(C68*10000/F71,0)</f>
        <v>-1287</v>
      </c>
      <c r="D71" s="919" t="s">
        <v>771</v>
      </c>
      <c r="E71" s="920" t="s">
        <v>772</v>
      </c>
      <c r="F71" s="330">
        <f ca="1">F43</f>
        <v>85571.080000000016</v>
      </c>
      <c r="O71" s="1333" t="s">
        <v>413</v>
      </c>
      <c r="P71" s="1370" t="s">
        <v>868</v>
      </c>
      <c r="Q71" s="1336">
        <f ca="1">C76</f>
        <v>7.0000000000000007E-2</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3650</v>
      </c>
      <c r="D75" s="1291"/>
      <c r="E75" s="1291"/>
      <c r="F75" s="1291"/>
      <c r="K75" s="1308"/>
      <c r="L75" s="1291"/>
      <c r="O75" s="1324" t="s">
        <v>409</v>
      </c>
      <c r="P75" s="1325" t="s">
        <v>832</v>
      </c>
      <c r="Q75" s="1326">
        <f ca="1">Q65+Q66</f>
        <v>2142176</v>
      </c>
      <c r="R75" s="1326" t="s">
        <v>410</v>
      </c>
    </row>
    <row r="76" spans="1:18">
      <c r="B76" s="333" t="s">
        <v>790</v>
      </c>
      <c r="C76" s="334">
        <f ca="1">INDIRECT("'数据-取费表'!j"&amp;$G$1)</f>
        <v>7.0000000000000007E-2</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0.95199999999999996</v>
      </c>
    </row>
    <row r="80" spans="1:18">
      <c r="B80" s="331" t="s">
        <v>794</v>
      </c>
      <c r="C80" s="266">
        <f ca="1">ROUND(C75/C39,3)</f>
        <v>4.8000000000000001E-2</v>
      </c>
    </row>
    <row r="81" spans="2:3">
      <c r="B81" s="262" t="s">
        <v>795</v>
      </c>
      <c r="C81" s="230"/>
    </row>
    <row r="82" spans="2:3">
      <c r="B82" s="265" t="s">
        <v>796</v>
      </c>
      <c r="C82" s="267">
        <f ca="1">1-C83</f>
        <v>0.97599999999999998</v>
      </c>
    </row>
    <row r="83" spans="2:3">
      <c r="B83" s="265" t="s">
        <v>797</v>
      </c>
      <c r="C83" s="266">
        <f ca="1">ROUND(C13/C40,3)</f>
        <v>2.4E-2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892</v>
      </c>
    </row>
    <row r="3" spans="1:1" ht="18">
      <c r="A3" s="1380" t="str">
        <f>项目基本情况!B5&amp;"："</f>
        <v>：</v>
      </c>
    </row>
    <row r="4" spans="1:1" ht="36">
      <c r="A4" s="1381" t="str">
        <f>"受贵公司委托，我公司对"&amp;项目基本情况!S1&amp;"进行了预评估。"</f>
        <v>受贵公司委托，我公司对河北省张家口市下花园区110国道北侧“京北金茂悦”项目房地产市场价值进行了预评估。</v>
      </c>
    </row>
    <row r="5" spans="1:1" ht="18.75">
      <c r="A5" s="1382" t="s">
        <v>893</v>
      </c>
    </row>
    <row r="6" spans="1:1" ht="18.75">
      <c r="A6" s="1383" t="s">
        <v>894</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估价对象为河北省张家口市下花园区110国道北侧“京北金茂悦”项目房地产，为所有。根据《国有土地使用证》[]，估价对象（分摊）出让国有建设用地使用权面积为0平方米，建筑面积为86196.96平方米。</v>
      </c>
    </row>
    <row r="8" spans="1:1" ht="57.75">
      <c r="A8" s="1384" t="s">
        <v>895</v>
      </c>
    </row>
    <row r="9" spans="1:1" ht="18.75">
      <c r="A9" s="1383" t="s">
        <v>896</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张家口市下花园区110国道北侧“京北金茂悦”项目房地产,属开发建设的居住项目，该项目尚在开发建设中。根据《国有土地使用证》[]，估价对象（分摊）出让国有建设用地使用权面积为0平方米，规划建筑面积为86196.96平方米。</v>
      </c>
    </row>
    <row r="11" spans="1:1" ht="76.5">
      <c r="A11" s="1384" t="s">
        <v>897</v>
      </c>
    </row>
    <row r="12" spans="1:1" ht="18.75">
      <c r="A12" s="1382" t="s">
        <v>898</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899</v>
      </c>
    </row>
    <row r="15" spans="1:1" ht="18">
      <c r="A15" s="1385" t="str">
        <f>TEXT(项目基本情况!D3,"yyyy年m月d日;;")&amp;IF(项目基本情况!D3=项目基本情况!B3,"（评估专业人员实地查勘之日）","")</f>
        <v>2023年12月31日</v>
      </c>
    </row>
    <row r="16" spans="1:1" ht="18.75">
      <c r="A16" s="1380" t="s">
        <v>900</v>
      </c>
    </row>
    <row r="17" spans="1:1" ht="75">
      <c r="A17" s="1381" t="s">
        <v>901</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890</v>
      </c>
    </row>
    <row r="24" spans="1:1" ht="18">
      <c r="A24" s="1386" t="str">
        <f>"本次评估采用的主估价方法为"&amp;结果表!K4&amp;"和"&amp;结果表!L4&amp;"。"</f>
        <v>本次评估采用的主估价方法为比较法和成本法。</v>
      </c>
    </row>
    <row r="25" spans="1:1" ht="18">
      <c r="A25" s="1386"/>
    </row>
    <row r="26" spans="1:1" ht="18.75">
      <c r="A26" s="1387" t="s">
        <v>891</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c r="D1" s="1270" t="s">
        <v>43</v>
      </c>
      <c r="E1" s="1271" t="s">
        <v>672</v>
      </c>
      <c r="F1" s="999">
        <f ca="1">J53</f>
        <v>0</v>
      </c>
      <c r="G1" s="1285">
        <f>MATCH(C1,'数据-取费表'!A6:A16,0)+5</f>
        <v>8</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872</v>
      </c>
      <c r="B2" s="3118" t="e">
        <f ca="1">ROUND(D2/10000,4)</f>
        <v>#N/A</v>
      </c>
      <c r="C2" s="1288" t="s">
        <v>873</v>
      </c>
      <c r="D2" s="1374" t="e">
        <f ca="1">C40+J29+L46</f>
        <v>#N/A</v>
      </c>
      <c r="E2" s="1294" t="s">
        <v>874</v>
      </c>
      <c r="F2" s="1295"/>
      <c r="G2" s="2473"/>
      <c r="H2" s="2463"/>
      <c r="I2" s="2463"/>
      <c r="J2" s="2463"/>
      <c r="K2" s="2464"/>
      <c r="L2" s="2463"/>
      <c r="M2" s="2463"/>
    </row>
    <row r="3" spans="1:37" ht="18" customHeight="1" thickBot="1">
      <c r="A3" s="1296" t="s">
        <v>875</v>
      </c>
      <c r="B3" s="1297">
        <f ca="1">IF(ISERROR(D2/F43),0,ROUND(D2/F43,0))</f>
        <v>0</v>
      </c>
      <c r="C3" s="1288" t="s">
        <v>876</v>
      </c>
      <c r="D3" s="1288"/>
      <c r="E3" s="1294"/>
      <c r="F3" s="1295"/>
      <c r="G3" s="2473"/>
      <c r="H3" s="649" t="s">
        <v>870</v>
      </c>
      <c r="I3" s="1289"/>
      <c r="J3" s="1289"/>
      <c r="K3" s="1290"/>
      <c r="L3" s="1289"/>
      <c r="M3" s="1289"/>
    </row>
    <row r="4" spans="1:37" ht="18" customHeight="1">
      <c r="A4" s="287" t="s">
        <v>877</v>
      </c>
      <c r="B4" s="288" t="s">
        <v>878</v>
      </c>
      <c r="C4" s="288" t="s">
        <v>879</v>
      </c>
      <c r="D4" s="288" t="s">
        <v>880</v>
      </c>
      <c r="E4" s="289" t="s">
        <v>881</v>
      </c>
      <c r="F4" s="290"/>
      <c r="G4" s="1291"/>
      <c r="H4" s="287" t="s">
        <v>877</v>
      </c>
      <c r="I4" s="288" t="s">
        <v>878</v>
      </c>
      <c r="J4" s="288" t="s">
        <v>879</v>
      </c>
      <c r="K4" s="288" t="s">
        <v>880</v>
      </c>
      <c r="L4" s="289" t="s">
        <v>881</v>
      </c>
      <c r="M4" s="290"/>
    </row>
    <row r="5" spans="1:37" ht="18" customHeight="1">
      <c r="A5" s="291">
        <v>1</v>
      </c>
      <c r="B5" s="292" t="s">
        <v>882</v>
      </c>
      <c r="C5" s="1007">
        <f ca="1">C6+C10+C12</f>
        <v>140616</v>
      </c>
      <c r="D5" s="1272" t="s">
        <v>883</v>
      </c>
      <c r="E5" s="1008"/>
      <c r="F5" s="1009"/>
      <c r="G5" s="1291"/>
      <c r="H5" s="291">
        <v>1</v>
      </c>
      <c r="I5" s="292" t="s">
        <v>882</v>
      </c>
      <c r="J5" s="1007">
        <f ca="1">J6+J10+J12</f>
        <v>0</v>
      </c>
      <c r="K5" s="1272" t="s">
        <v>883</v>
      </c>
      <c r="L5" s="1008"/>
      <c r="M5" s="1009"/>
    </row>
    <row r="6" spans="1:37" ht="18" customHeight="1">
      <c r="A6" s="1006" t="s">
        <v>398</v>
      </c>
      <c r="B6" s="3515" t="s">
        <v>688</v>
      </c>
      <c r="C6" s="1011">
        <f ca="1">ROUND(F6*F8*F7*(1-F9),0)</f>
        <v>140616</v>
      </c>
      <c r="D6" s="147" t="s">
        <v>2100</v>
      </c>
      <c r="E6" s="294" t="s">
        <v>690</v>
      </c>
      <c r="F6" s="295">
        <f ca="1">INDIRECT("'数据-取费表'!u"&amp;$G$1)</f>
        <v>60</v>
      </c>
      <c r="G6" s="1291"/>
      <c r="H6" s="1006" t="s">
        <v>398</v>
      </c>
      <c r="I6" s="3515" t="s">
        <v>688</v>
      </c>
      <c r="J6" s="293">
        <f ca="1">ROUND(M6*M8*M7*(1-M9),0)</f>
        <v>0</v>
      </c>
      <c r="K6" s="1283" t="s">
        <v>2101</v>
      </c>
      <c r="L6" s="294" t="s">
        <v>690</v>
      </c>
      <c r="M6" s="295">
        <f ca="1">INDIRECT("'数据-取费表'!z"&amp;$G$1)</f>
        <v>0</v>
      </c>
    </row>
    <row r="7" spans="1:37" ht="18" customHeight="1">
      <c r="A7" s="1010"/>
      <c r="B7" s="3516"/>
      <c r="C7" s="1012"/>
      <c r="D7" s="299"/>
      <c r="E7" s="1013" t="s">
        <v>691</v>
      </c>
      <c r="F7" s="295">
        <f ca="1">IF(INDIRECT("'数据-取费表'!ah"&amp;$G$1)="",INDIRECT("'数据-取费表'!k"&amp;$G$1),INDIRECT("'数据-取费表'!ah"&amp;$G$1))</f>
        <v>217</v>
      </c>
      <c r="G7" s="1291"/>
      <c r="H7" s="296"/>
      <c r="I7" s="3516"/>
      <c r="J7" s="298"/>
      <c r="K7" s="299"/>
      <c r="L7" s="294" t="s">
        <v>691</v>
      </c>
      <c r="M7" s="295">
        <f ca="1">F7</f>
        <v>217</v>
      </c>
    </row>
    <row r="8" spans="1:37" ht="18" customHeight="1">
      <c r="A8" s="296"/>
      <c r="B8" s="3516"/>
      <c r="C8" s="298"/>
      <c r="D8" s="299"/>
      <c r="E8" s="294" t="s">
        <v>692</v>
      </c>
      <c r="F8" s="295">
        <f ca="1">INDIRECT("'数据-取费表'!ai"&amp;$G$1)</f>
        <v>12</v>
      </c>
      <c r="G8" s="1291"/>
      <c r="H8" s="296"/>
      <c r="I8" s="3516"/>
      <c r="J8" s="298"/>
      <c r="K8" s="299"/>
      <c r="L8" s="294" t="s">
        <v>692</v>
      </c>
      <c r="M8" s="295">
        <f ca="1">INDIRECT("'数据-取费表'!ai"&amp;$G$1)</f>
        <v>12</v>
      </c>
    </row>
    <row r="9" spans="1:37" ht="18" customHeight="1">
      <c r="A9" s="296"/>
      <c r="B9" s="3517"/>
      <c r="C9" s="298"/>
      <c r="D9" s="299"/>
      <c r="E9" s="294" t="s">
        <v>693</v>
      </c>
      <c r="F9" s="304">
        <f ca="1">INDIRECT("'数据-取费表'!w"&amp;$G$1)</f>
        <v>0.1</v>
      </c>
      <c r="G9" s="1291"/>
      <c r="H9" s="296"/>
      <c r="I9" s="3517"/>
      <c r="J9" s="298"/>
      <c r="K9" s="299"/>
      <c r="L9" s="305" t="s">
        <v>693</v>
      </c>
      <c r="M9" s="306">
        <f ca="1">INDIRECT("'数据-取费表'!ab"&amp;$G$1)</f>
        <v>0</v>
      </c>
    </row>
    <row r="10" spans="1:37" ht="18" customHeight="1">
      <c r="A10" s="1006" t="s">
        <v>402</v>
      </c>
      <c r="B10" s="1273" t="s">
        <v>694</v>
      </c>
      <c r="C10" s="308">
        <f ca="1">ROUND(IF(F10="押一",C6/12*F11,IF(F10="押二",C6/12*2*F11,IF(F10="押三",C6/12*3*F11,C11*F11))),0)</f>
        <v>0</v>
      </c>
      <c r="D10" s="150" t="s">
        <v>2110</v>
      </c>
      <c r="E10" s="305" t="s">
        <v>695</v>
      </c>
      <c r="F10" s="1053"/>
      <c r="G10" s="1291"/>
      <c r="H10" s="1006" t="s">
        <v>402</v>
      </c>
      <c r="I10" s="1273" t="s">
        <v>694</v>
      </c>
      <c r="J10" s="293">
        <f ca="1">ROUND(IF(M10="押一",J6/12*M11,IF(M10="押二",J6/12*2*M11,IF(M10="押三",J6/12*3*M11,J11*M11))),0)</f>
        <v>0</v>
      </c>
      <c r="K10" s="1284" t="s">
        <v>2112</v>
      </c>
      <c r="L10" s="305" t="s">
        <v>695</v>
      </c>
      <c r="M10" s="1053"/>
    </row>
    <row r="11" spans="1:37" ht="18" customHeight="1">
      <c r="A11" s="300"/>
      <c r="B11" s="1274" t="s">
        <v>884</v>
      </c>
      <c r="C11" s="905"/>
      <c r="D11" s="299"/>
      <c r="E11" s="305" t="s">
        <v>696</v>
      </c>
      <c r="F11" s="306">
        <f ca="1">'数据-取费表'!B39</f>
        <v>1.4999999999999999E-2</v>
      </c>
      <c r="G11" s="1291"/>
      <c r="H11" s="1014"/>
      <c r="I11" s="1274" t="s">
        <v>885</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0</v>
      </c>
      <c r="D13" s="1018" t="s">
        <v>699</v>
      </c>
      <c r="E13" s="1018" t="s">
        <v>700</v>
      </c>
      <c r="F13" s="1019">
        <f ca="1">INDIRECT("'数据-取费表'!y"&amp;$G$1)</f>
        <v>0</v>
      </c>
      <c r="G13" s="1291"/>
      <c r="H13" s="1016">
        <v>2</v>
      </c>
      <c r="I13" s="1017" t="s">
        <v>698</v>
      </c>
      <c r="J13" s="1005">
        <f ca="1">ROUND(J14*J15,0)</f>
        <v>0</v>
      </c>
      <c r="K13" s="1024" t="s">
        <v>699</v>
      </c>
      <c r="L13" s="1298"/>
      <c r="M13" s="1299"/>
    </row>
    <row r="14" spans="1:37" ht="18" customHeight="1">
      <c r="A14" s="928" t="s">
        <v>397</v>
      </c>
      <c r="B14" s="294" t="s">
        <v>701</v>
      </c>
      <c r="C14" s="310">
        <f ca="1">ROUND(INDIRECT("'数据-取费表'!l"&amp;$G$1)*F43+'数据-取费表'!L14*INDIRECT("'数据-取费表'!S"&amp;$G$1),0)</f>
        <v>0</v>
      </c>
      <c r="D14" s="1256" t="s">
        <v>702</v>
      </c>
      <c r="E14" s="1254"/>
      <c r="F14" s="311"/>
      <c r="G14" s="1291"/>
      <c r="H14" s="928" t="s">
        <v>398</v>
      </c>
      <c r="I14" s="294" t="s">
        <v>703</v>
      </c>
      <c r="J14" s="21">
        <f ca="1">C29</f>
        <v>0</v>
      </c>
      <c r="K14" s="12"/>
      <c r="L14" s="759"/>
      <c r="M14" s="760"/>
    </row>
    <row r="15" spans="1:37" s="1303" customFormat="1" ht="18" customHeight="1" thickBot="1">
      <c r="A15" s="928" t="s">
        <v>399</v>
      </c>
      <c r="B15" s="294" t="s">
        <v>704</v>
      </c>
      <c r="C15" s="21">
        <f ca="1">ROUND(C14*F15,0)</f>
        <v>0</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ROUND(INDIRECT("'数据-取费表'!l"&amp;$G$1)*F43*F16,0)</f>
        <v>0</v>
      </c>
      <c r="D16" s="294" t="s">
        <v>705</v>
      </c>
      <c r="E16" s="294" t="s">
        <v>706</v>
      </c>
      <c r="F16" s="314">
        <f ca="1">IF(INDIRECT("'数据-取费表'!c"&amp;$G$1)="住宅",'数据-取费表'!B34,0)</f>
        <v>0</v>
      </c>
      <c r="G16" s="1291"/>
      <c r="H16" s="1016" t="s">
        <v>393</v>
      </c>
      <c r="I16" s="1017" t="s">
        <v>708</v>
      </c>
      <c r="J16" s="302">
        <f ca="1">ROUND(J17+J22+J23+J24,0)</f>
        <v>0</v>
      </c>
      <c r="K16" s="1024" t="s">
        <v>709</v>
      </c>
      <c r="L16" s="1025"/>
      <c r="M16" s="1009"/>
    </row>
    <row r="17" spans="1:37" s="1303" customFormat="1" ht="18" customHeight="1">
      <c r="A17" s="928" t="s">
        <v>675</v>
      </c>
      <c r="B17" s="294" t="s">
        <v>710</v>
      </c>
      <c r="C17" s="21">
        <f ca="1">ROUND(F17*(F43+INDIRECT("'数据-取费表'!S"&amp;$G$1)),0)</f>
        <v>0</v>
      </c>
      <c r="D17" s="294" t="s">
        <v>711</v>
      </c>
      <c r="E17" s="294" t="s">
        <v>712</v>
      </c>
      <c r="F17" s="23">
        <f>'数据-取费表'!B35</f>
        <v>200</v>
      </c>
      <c r="G17" s="1302"/>
      <c r="H17" s="928" t="s">
        <v>398</v>
      </c>
      <c r="I17" s="294" t="s">
        <v>713</v>
      </c>
      <c r="J17" s="2136">
        <f ca="1">ROUND(IF(AND(项目基本情况!B11="自然人",项目基本情况!B10="北京市"),J6*M17/(1+'数据-取费表'!C42),J18+J19+J20),0)</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0</v>
      </c>
      <c r="D18" s="294" t="s">
        <v>705</v>
      </c>
      <c r="E18" s="294" t="s">
        <v>706</v>
      </c>
      <c r="F18" s="314">
        <f>'数据-取费表'!B36</f>
        <v>1.4999999999999999E-2</v>
      </c>
      <c r="G18" s="1302"/>
      <c r="H18" s="928" t="s">
        <v>397</v>
      </c>
      <c r="I18" s="294" t="s">
        <v>717</v>
      </c>
      <c r="J18" s="21">
        <f ca="1">ROUND(J6*M18/(1+'数据-取费表'!C42),0)</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0</v>
      </c>
      <c r="D19" s="123" t="s">
        <v>720</v>
      </c>
      <c r="E19" s="1268"/>
      <c r="F19" s="23"/>
      <c r="G19" s="1291"/>
      <c r="H19" s="928" t="s">
        <v>399</v>
      </c>
      <c r="I19" s="294" t="s">
        <v>721</v>
      </c>
      <c r="J19" s="21">
        <f ca="1">IF(K19="按租金收入计税",ROUND(J6*M19/(1+'数据-取费表'!C42),0),ROUND(C29*M19*0.7,0))</f>
        <v>0</v>
      </c>
      <c r="K19" s="1277" t="s">
        <v>3334</v>
      </c>
      <c r="L19" s="294" t="s">
        <v>706</v>
      </c>
      <c r="M19" s="314">
        <f>IF(K19="按租金收入计税",'数据-取费表'!B51,'数据-取费表'!B50)</f>
        <v>0.12</v>
      </c>
    </row>
    <row r="20" spans="1:37" s="1303" customFormat="1" ht="18" customHeight="1">
      <c r="A20" s="928" t="s">
        <v>402</v>
      </c>
      <c r="B20" s="294" t="s">
        <v>722</v>
      </c>
      <c r="C20" s="21">
        <f ca="1">ROUND(C19*F20,0)</f>
        <v>0</v>
      </c>
      <c r="D20" s="315" t="s">
        <v>723</v>
      </c>
      <c r="E20" s="294" t="s">
        <v>706</v>
      </c>
      <c r="F20" s="314">
        <f>'数据-取费表'!B37</f>
        <v>0.03</v>
      </c>
      <c r="G20" s="1302"/>
      <c r="H20" s="928" t="s">
        <v>674</v>
      </c>
      <c r="I20" s="147" t="s">
        <v>724</v>
      </c>
      <c r="J20" s="22">
        <f ca="1">ROUND(M20*M21,0)</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ROUND(J14*M22,0)</f>
        <v>0</v>
      </c>
      <c r="K22" s="1255" t="s">
        <v>733</v>
      </c>
      <c r="L22" s="294" t="s">
        <v>706</v>
      </c>
      <c r="M22" s="320">
        <f ca="1">INDIRECT("'数据-取费表'!Ak"&amp;$G$1)</f>
        <v>5.0000000000000001E-3</v>
      </c>
    </row>
    <row r="23" spans="1:37" s="1303" customFormat="1" ht="18" customHeight="1">
      <c r="A23" s="928" t="s">
        <v>397</v>
      </c>
      <c r="B23" s="294" t="s">
        <v>734</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ROUND(J13*M23,0)</f>
        <v>0</v>
      </c>
      <c r="K23" s="1255" t="s">
        <v>737</v>
      </c>
      <c r="L23" s="294" t="s">
        <v>738</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739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678</v>
      </c>
      <c r="I24" s="1027" t="s">
        <v>722</v>
      </c>
      <c r="J24" s="1028">
        <f ca="1">ROUND(J5*M24,0)</f>
        <v>0</v>
      </c>
      <c r="K24" s="1029" t="s">
        <v>742</v>
      </c>
      <c r="L24" s="1027" t="s">
        <v>738</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743</v>
      </c>
      <c r="B25" s="294" t="s">
        <v>744</v>
      </c>
      <c r="C25" s="21"/>
      <c r="D25" s="123" t="s">
        <v>745</v>
      </c>
      <c r="E25" s="1268"/>
      <c r="F25" s="23"/>
      <c r="G25" s="1291"/>
      <c r="H25" s="1016" t="s">
        <v>394</v>
      </c>
      <c r="I25" s="1031" t="s">
        <v>746</v>
      </c>
      <c r="J25" s="302">
        <f ca="1">J5-J16</f>
        <v>0</v>
      </c>
      <c r="K25" s="1032" t="s">
        <v>747</v>
      </c>
      <c r="L25" s="1033"/>
      <c r="M25" s="1034"/>
    </row>
    <row r="26" spans="1:37" ht="18" customHeight="1">
      <c r="A26" s="928" t="s">
        <v>397</v>
      </c>
      <c r="B26" s="294" t="s">
        <v>748</v>
      </c>
      <c r="C26" s="21">
        <f ca="1">ROUND((C19+C20)*F26,0)</f>
        <v>0</v>
      </c>
      <c r="D26" s="315" t="s">
        <v>749</v>
      </c>
      <c r="E26" s="305" t="s">
        <v>750</v>
      </c>
      <c r="F26" s="304">
        <f ca="1">INDIRECT("'数据-取费表'!q"&amp;$G$1)</f>
        <v>0</v>
      </c>
      <c r="G26" s="1291"/>
      <c r="H26" s="291" t="s">
        <v>395</v>
      </c>
      <c r="I26" s="292" t="s">
        <v>751</v>
      </c>
      <c r="J26" s="293">
        <f ca="1">IF(J5&lt;&gt;0,ROUND(J25*(1-((1+M28)/(1+M26))^M27)/(M26-M28),0),0)</f>
        <v>0</v>
      </c>
      <c r="K26" s="316" t="s">
        <v>752</v>
      </c>
      <c r="L26" s="294" t="s">
        <v>753</v>
      </c>
      <c r="M26" s="304">
        <f ca="1">INDIRECT("'数据-取费表'!I"&amp;$G$1)</f>
        <v>0</v>
      </c>
    </row>
    <row r="27" spans="1:37" ht="18" customHeight="1">
      <c r="A27" s="928" t="s">
        <v>399</v>
      </c>
      <c r="B27" s="294" t="s">
        <v>754</v>
      </c>
      <c r="C27" s="21">
        <f ca="1">ROUND(F21*F26,4)</f>
        <v>0</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0</v>
      </c>
      <c r="D29" s="1029"/>
      <c r="E29" s="1027"/>
      <c r="F29" s="1030"/>
      <c r="G29" s="1302"/>
      <c r="H29" s="325" t="s">
        <v>396</v>
      </c>
      <c r="I29" s="326" t="s">
        <v>762</v>
      </c>
      <c r="J29" s="327" t="e">
        <f ca="1">ROUND(J26/(1+F40)^F41,0)</f>
        <v>#N/A</v>
      </c>
      <c r="K29" s="328" t="s">
        <v>763</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24273</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ROUND(IF(AND(项目基本情况!B11="自然人",项目基本情况!B10="北京市"),C6*F31/(1+'数据-取费表'!C42),C32+C33+C34),0)</f>
        <v>23570</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IF(项目基本情况!B11="自然人","——",ROUND(C6*F32/(1+'数据-取费表'!C42),0))</f>
        <v>7500</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IF(项目基本情况!B11="自然人","——",IF(D33="按租金收入计税",ROUND(C6*F33/(1+'数据-取费表'!C42),0),IF(D33="按房产原值计税",ROUND(C29*F33*0.7,0),INDIRECT("'数据-取费表'!Aj"&amp;$G$1))))</f>
        <v>16070</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IF(项目基本情况!B11="自然人","——",ROUND(F34*F35,0))</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ROUND(C29*F36,0)</f>
        <v>0</v>
      </c>
      <c r="D36" s="1255" t="s">
        <v>765</v>
      </c>
      <c r="E36" s="294" t="s">
        <v>706</v>
      </c>
      <c r="F36" s="320">
        <f ca="1">INDIRECT("'数据-取费表'!Ak"&amp;$G$1)</f>
        <v>5.0000000000000001E-3</v>
      </c>
      <c r="G36" s="1291"/>
      <c r="H36" s="2468"/>
      <c r="I36" s="1304"/>
      <c r="J36" s="1305"/>
      <c r="K36" s="2326"/>
      <c r="L36" s="2468"/>
      <c r="M36" s="2468"/>
    </row>
    <row r="37" spans="1:18" ht="18" customHeight="1">
      <c r="A37" s="928" t="s">
        <v>437</v>
      </c>
      <c r="B37" s="294" t="s">
        <v>736</v>
      </c>
      <c r="C37" s="21">
        <f ca="1">ROUND(C13*F37,0)</f>
        <v>0</v>
      </c>
      <c r="D37" s="1255" t="s">
        <v>737</v>
      </c>
      <c r="E37" s="294" t="s">
        <v>738</v>
      </c>
      <c r="F37" s="321">
        <f ca="1">INDIRECT("'数据-取费表'!Al"&amp;$G$1)</f>
        <v>1E-3</v>
      </c>
      <c r="G37" s="1291"/>
      <c r="H37" s="2468"/>
      <c r="I37" s="1304"/>
      <c r="J37" s="1305"/>
      <c r="K37" s="2326"/>
      <c r="L37" s="2468"/>
      <c r="M37" s="2468"/>
    </row>
    <row r="38" spans="1:18" ht="18" customHeight="1" thickBot="1">
      <c r="A38" s="1026" t="s">
        <v>678</v>
      </c>
      <c r="B38" s="1027" t="s">
        <v>722</v>
      </c>
      <c r="C38" s="1028">
        <f ca="1">ROUND(C5*F38,0)</f>
        <v>703</v>
      </c>
      <c r="D38" s="1029" t="s">
        <v>742</v>
      </c>
      <c r="E38" s="1027" t="s">
        <v>738</v>
      </c>
      <c r="F38" s="1023">
        <f ca="1">INDIRECT("'数据-取费表'!Am"&amp;$G$1)</f>
        <v>5.0000000000000001E-3</v>
      </c>
      <c r="G38" s="1291"/>
      <c r="H38" s="2468"/>
      <c r="I38" s="1304"/>
      <c r="J38" s="1305"/>
      <c r="K38" s="2466"/>
      <c r="L38" s="2468"/>
      <c r="M38" s="2468"/>
    </row>
    <row r="39" spans="1:18" ht="24.6" customHeight="1" thickTop="1">
      <c r="A39" s="1016" t="s">
        <v>394</v>
      </c>
      <c r="B39" s="1031" t="s">
        <v>766</v>
      </c>
      <c r="C39" s="302">
        <f ca="1">C5-C30</f>
        <v>116343</v>
      </c>
      <c r="D39" s="1032" t="s">
        <v>767</v>
      </c>
      <c r="E39" s="1033"/>
      <c r="F39" s="1034"/>
      <c r="G39" s="1291"/>
      <c r="H39" s="2468"/>
      <c r="I39" s="1304"/>
      <c r="J39" s="1305"/>
      <c r="K39" s="2466"/>
      <c r="L39" s="2468"/>
      <c r="M39" s="2468"/>
    </row>
    <row r="40" spans="1:18" ht="18" customHeight="1">
      <c r="A40" s="291" t="s">
        <v>395</v>
      </c>
      <c r="B40" s="292" t="s">
        <v>768</v>
      </c>
      <c r="C40" s="293" t="e">
        <f ca="1">ROUND(C39*(1-((1+F42)/(1+F40))^F41)/(F40-F42),0)</f>
        <v>#N/A</v>
      </c>
      <c r="D40" s="316" t="s">
        <v>752</v>
      </c>
      <c r="E40" s="294" t="s">
        <v>753</v>
      </c>
      <c r="F40" s="304">
        <f ca="1">INDIRECT("'数据-取费表'!I"&amp;$G$1)</f>
        <v>0</v>
      </c>
      <c r="G40" s="1291"/>
      <c r="H40" s="1365"/>
      <c r="I40" s="1304"/>
      <c r="J40" s="1305"/>
      <c r="K40" s="2466"/>
      <c r="L40" s="1365"/>
      <c r="M40" s="1365"/>
    </row>
    <row r="41" spans="1:18" ht="18" customHeight="1">
      <c r="A41" s="296"/>
      <c r="B41" s="297"/>
      <c r="C41" s="298"/>
      <c r="D41" s="323" t="s">
        <v>769</v>
      </c>
      <c r="E41" s="294" t="s">
        <v>757</v>
      </c>
      <c r="F41" s="324" t="e">
        <f ca="1">IF(INDIRECT("'数据-取费表'!af"&amp;$G$1)=0,INDIRECT("'数据-取费表'!ae"&amp;$G$1),INDIRECT("'数据-取费表'!af"&amp;$G$1))</f>
        <v>#N/A</v>
      </c>
      <c r="G41" s="1291"/>
      <c r="H41" s="121"/>
      <c r="I41" s="1304"/>
      <c r="J41" s="1305"/>
      <c r="K41" s="2326"/>
      <c r="L41" s="121"/>
      <c r="M41" s="121"/>
    </row>
    <row r="42" spans="1:18" ht="18" customHeight="1">
      <c r="A42" s="300"/>
      <c r="B42" s="301"/>
      <c r="C42" s="302"/>
      <c r="D42" s="319"/>
      <c r="E42" s="294" t="s">
        <v>760</v>
      </c>
      <c r="F42" s="304">
        <f ca="1">INDIRECT("'数据-取费表'!v"&amp;$G$1)</f>
        <v>1.4999999999999999E-2</v>
      </c>
      <c r="G42" s="1291"/>
      <c r="H42" s="121"/>
      <c r="I42" s="1304"/>
      <c r="J42" s="1305"/>
      <c r="K42" s="2326"/>
      <c r="L42" s="121"/>
      <c r="M42" s="121"/>
    </row>
    <row r="43" spans="1:18" ht="18" customHeight="1" thickBot="1">
      <c r="A43" s="325" t="s">
        <v>396</v>
      </c>
      <c r="B43" s="326" t="s">
        <v>770</v>
      </c>
      <c r="C43" s="327" t="e">
        <f ca="1">ROUND(C40/F43,0)</f>
        <v>#N/A</v>
      </c>
      <c r="D43" s="328" t="s">
        <v>771</v>
      </c>
      <c r="E43" s="329" t="s">
        <v>772</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4" t="s">
        <v>3350</v>
      </c>
      <c r="B45" s="1306"/>
      <c r="C45" s="1375" t="e">
        <f ca="1">ROUND((C68-C40)/10000,4)</f>
        <v>#N/A</v>
      </c>
      <c r="D45" s="3125" t="s">
        <v>3351</v>
      </c>
      <c r="E45" s="1306"/>
      <c r="F45" s="1306"/>
      <c r="O45" s="1309" t="s">
        <v>802</v>
      </c>
      <c r="P45" s="1365"/>
      <c r="Q45" s="1365"/>
      <c r="R45" s="1365"/>
    </row>
    <row r="46" spans="1:18" s="1291" customFormat="1" ht="13.5" thickBot="1">
      <c r="A46" s="1310" t="s">
        <v>803</v>
      </c>
      <c r="C46" s="1311" t="e">
        <f ca="1">ROUND(C45,0)</f>
        <v>#N/A</v>
      </c>
      <c r="D46" s="1312" t="str">
        <f>C2</f>
        <v>万元</v>
      </c>
      <c r="I46" s="1313" t="s">
        <v>804</v>
      </c>
      <c r="J46" s="1314"/>
      <c r="K46" s="1315"/>
      <c r="L46" s="1316" t="e">
        <f ca="1">IF(M47="住宅",0,IF(L48&gt;J51,L60,J60))</f>
        <v>#DIV/0!</v>
      </c>
      <c r="O46" s="1317" t="s">
        <v>805</v>
      </c>
      <c r="P46" s="1318" t="s">
        <v>806</v>
      </c>
      <c r="Q46" s="1319" t="s">
        <v>807</v>
      </c>
      <c r="R46" s="1319" t="s">
        <v>808</v>
      </c>
    </row>
    <row r="47" spans="1:18" s="1291" customFormat="1" ht="13.5" thickBot="1">
      <c r="A47" s="892" t="s">
        <v>681</v>
      </c>
      <c r="B47" s="924" t="s">
        <v>682</v>
      </c>
      <c r="C47" s="924" t="s">
        <v>683</v>
      </c>
      <c r="D47" s="924" t="s">
        <v>684</v>
      </c>
      <c r="E47" s="995" t="s">
        <v>685</v>
      </c>
      <c r="F47" s="996"/>
      <c r="G47" s="681"/>
      <c r="I47" s="1320" t="s">
        <v>809</v>
      </c>
      <c r="J47" s="1321"/>
      <c r="K47" s="1322" t="s">
        <v>810</v>
      </c>
      <c r="L47" s="1323">
        <f ca="1">INDIRECT("'数据-取费表'!d"&amp;$G$1)</f>
        <v>0</v>
      </c>
      <c r="M47" s="1287" t="str">
        <f>IF(ISNUMBER(FIND("住宅",C1)),"住宅","非住宅")</f>
        <v>非住宅</v>
      </c>
      <c r="O47" s="1324" t="s">
        <v>403</v>
      </c>
      <c r="P47" s="1325" t="s">
        <v>811</v>
      </c>
      <c r="Q47" s="1326" t="e">
        <f ca="1">C40+J29</f>
        <v>#N/A</v>
      </c>
      <c r="R47" s="1326" t="s">
        <v>812</v>
      </c>
    </row>
    <row r="48" spans="1:18" s="1291" customFormat="1" ht="28.5" thickBot="1">
      <c r="A48" s="1047" t="s">
        <v>438</v>
      </c>
      <c r="B48" s="292" t="s">
        <v>686</v>
      </c>
      <c r="C48" s="1267">
        <f ca="1">C49+C53+C55</f>
        <v>0</v>
      </c>
      <c r="D48" s="1049"/>
      <c r="E48" s="1050"/>
      <c r="F48" s="908"/>
      <c r="G48" s="681"/>
      <c r="H48" s="682"/>
      <c r="I48" s="1327" t="s">
        <v>813</v>
      </c>
      <c r="J48" s="1328"/>
      <c r="K48" s="1329" t="s">
        <v>814</v>
      </c>
      <c r="L48" s="1330">
        <f ca="1">INDIRECT("'数据-取费表'!f"&amp;$G$1)</f>
        <v>0</v>
      </c>
      <c r="O48" s="1324" t="s">
        <v>404</v>
      </c>
      <c r="P48" s="1325" t="s">
        <v>815</v>
      </c>
      <c r="Q48" s="1326" t="e">
        <f ca="1">J60</f>
        <v>#DIV/0!</v>
      </c>
      <c r="R48" s="1326" t="s">
        <v>816</v>
      </c>
    </row>
    <row r="49" spans="1:18" s="1291" customFormat="1" ht="13.5" thickBot="1">
      <c r="A49" s="921" t="s">
        <v>439</v>
      </c>
      <c r="B49" s="1278" t="s">
        <v>773</v>
      </c>
      <c r="C49" s="1051">
        <f ca="1">ROUND(F49*F51*F50*(1-F52),0)</f>
        <v>0</v>
      </c>
      <c r="D49" s="992" t="s">
        <v>689</v>
      </c>
      <c r="E49" s="1279" t="s">
        <v>774</v>
      </c>
      <c r="F49" s="997"/>
      <c r="H49" s="682"/>
      <c r="I49" s="1327" t="s">
        <v>817</v>
      </c>
      <c r="J49" s="1331"/>
      <c r="K49" s="1329" t="s">
        <v>818</v>
      </c>
      <c r="L49" s="1332"/>
      <c r="O49" s="1333" t="s">
        <v>405</v>
      </c>
      <c r="P49" s="1325" t="s">
        <v>819</v>
      </c>
      <c r="Q49" s="1326">
        <f ca="1">C29</f>
        <v>0</v>
      </c>
      <c r="R49" s="1326" t="s">
        <v>812</v>
      </c>
    </row>
    <row r="50" spans="1:18" s="1291" customFormat="1" ht="13.5" thickBot="1">
      <c r="A50" s="922"/>
      <c r="B50" s="925"/>
      <c r="C50" s="926"/>
      <c r="D50" s="899"/>
      <c r="E50" s="993" t="s">
        <v>691</v>
      </c>
      <c r="F50" s="994">
        <f ca="1">F7</f>
        <v>217</v>
      </c>
      <c r="H50" s="682"/>
      <c r="I50" s="1327" t="s">
        <v>820</v>
      </c>
      <c r="J50" s="1334">
        <f>SUMPRODUCT((I63:I65=J47)*(J62:L62=J48)*(J63:L65))</f>
        <v>0</v>
      </c>
      <c r="K50" s="1329" t="s">
        <v>821</v>
      </c>
      <c r="L50" s="1332"/>
      <c r="M50" s="1335"/>
      <c r="O50" s="1333" t="s">
        <v>406</v>
      </c>
      <c r="P50" s="1325" t="s">
        <v>822</v>
      </c>
      <c r="Q50" s="1336" t="e">
        <f ca="1">J58</f>
        <v>#DIV/0!</v>
      </c>
      <c r="R50" s="1326"/>
    </row>
    <row r="51" spans="1:18" s="1291" customFormat="1" ht="13.5" thickBot="1">
      <c r="A51" s="923"/>
      <c r="B51" s="925"/>
      <c r="C51" s="926"/>
      <c r="D51" s="899"/>
      <c r="E51" s="927" t="s">
        <v>692</v>
      </c>
      <c r="F51" s="295">
        <f ca="1">F8</f>
        <v>12</v>
      </c>
      <c r="I51" s="1337" t="s">
        <v>823</v>
      </c>
      <c r="J51" s="1330">
        <f>IF(J49="",J50,J49+J50-YEAR('数据-取费表'!B2))</f>
        <v>0</v>
      </c>
      <c r="K51" s="1338" t="s">
        <v>824</v>
      </c>
      <c r="L51" s="1339">
        <f ca="1">ROUND(-PV(INDIRECT("'数据-取费表'!h"&amp;$G$1),J51,(C39-C13*C76),0),0)</f>
        <v>0</v>
      </c>
      <c r="M51" s="1340"/>
      <c r="O51" s="1333" t="s">
        <v>407</v>
      </c>
      <c r="P51" s="1325" t="s">
        <v>825</v>
      </c>
      <c r="Q51" s="1336">
        <f>J52</f>
        <v>0</v>
      </c>
      <c r="R51" s="1326"/>
    </row>
    <row r="52" spans="1:18" s="1291" customFormat="1" ht="13.5" thickBot="1">
      <c r="A52" s="923"/>
      <c r="B52" s="925"/>
      <c r="C52" s="926"/>
      <c r="D52" s="899"/>
      <c r="E52" s="927" t="s">
        <v>693</v>
      </c>
      <c r="F52" s="991"/>
      <c r="I52" s="1341" t="s">
        <v>826</v>
      </c>
      <c r="J52" s="1342"/>
      <c r="K52" s="1341" t="s">
        <v>827</v>
      </c>
      <c r="L52" s="1342"/>
      <c r="O52" s="1333" t="s">
        <v>408</v>
      </c>
      <c r="P52" s="1325" t="s">
        <v>828</v>
      </c>
      <c r="Q52" s="1326">
        <f ca="1">J53</f>
        <v>0</v>
      </c>
      <c r="R52" s="1326" t="s">
        <v>829</v>
      </c>
    </row>
    <row r="53" spans="1:18" s="1291" customFormat="1" ht="30.75" customHeight="1" thickBot="1">
      <c r="A53" s="1048" t="s">
        <v>440</v>
      </c>
      <c r="B53" s="315" t="s">
        <v>694</v>
      </c>
      <c r="C53" s="308">
        <f ca="1">ROUND(IF(F53="押一",C49/12*F11,IF(F53="押二",C49/12*2*F11,IF(F53="押三",C49/12*3*F11,C54*F11))),0)</f>
        <v>0</v>
      </c>
      <c r="D53" s="150" t="s">
        <v>2113</v>
      </c>
      <c r="E53" s="305" t="s">
        <v>695</v>
      </c>
      <c r="F53" s="1053"/>
      <c r="I53" s="1343" t="s">
        <v>830</v>
      </c>
      <c r="J53" s="2002">
        <f ca="1">IF(M47="住宅",IF(D1="——",MAX(J51,L48),MAX(J51,L48-'数据-取费表'!B24)),IF(D1="——",MIN(J51,L48),MIN(J51,L48-'数据-取费表'!B24)))</f>
        <v>0</v>
      </c>
      <c r="K53" s="3513" t="s">
        <v>831</v>
      </c>
      <c r="L53" s="3514"/>
      <c r="O53" s="1324" t="s">
        <v>409</v>
      </c>
      <c r="P53" s="1325" t="s">
        <v>832</v>
      </c>
      <c r="Q53" s="1326" t="e">
        <f ca="1">Q47+Q48</f>
        <v>#N/A</v>
      </c>
      <c r="R53" s="1326" t="s">
        <v>410</v>
      </c>
    </row>
    <row r="54" spans="1:18" s="1291" customFormat="1" ht="13.5" thickBot="1">
      <c r="A54" s="921"/>
      <c r="B54" s="1376" t="s">
        <v>885</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#DIV/0!</v>
      </c>
      <c r="K55" s="1349" t="s">
        <v>835</v>
      </c>
      <c r="L55" s="1350"/>
      <c r="O55" s="1317" t="s">
        <v>805</v>
      </c>
      <c r="P55" s="1318" t="s">
        <v>806</v>
      </c>
      <c r="Q55" s="1319" t="s">
        <v>807</v>
      </c>
      <c r="R55" s="1319" t="s">
        <v>808</v>
      </c>
    </row>
    <row r="56" spans="1:18" s="1291" customFormat="1" ht="36" customHeight="1" thickTop="1" thickBot="1">
      <c r="A56" s="903">
        <v>2</v>
      </c>
      <c r="B56" s="904" t="s">
        <v>698</v>
      </c>
      <c r="C56" s="224">
        <f ca="1">C13</f>
        <v>0</v>
      </c>
      <c r="D56" s="1351"/>
      <c r="E56" s="1352"/>
      <c r="F56" s="1344"/>
      <c r="I56" s="1353" t="s">
        <v>836</v>
      </c>
      <c r="J56" s="1354"/>
      <c r="K56" s="1327" t="s">
        <v>837</v>
      </c>
      <c r="L56" s="1330">
        <f ca="1">IF(L48&lt;J51,"——",L48-J51)</f>
        <v>0</v>
      </c>
      <c r="O56" s="1324" t="s">
        <v>403</v>
      </c>
      <c r="P56" s="1325" t="s">
        <v>811</v>
      </c>
      <c r="Q56" s="1326" t="e">
        <f ca="1">C40+J29</f>
        <v>#N/A</v>
      </c>
      <c r="R56" s="1326" t="s">
        <v>812</v>
      </c>
    </row>
    <row r="57" spans="1:18" s="1291" customFormat="1" ht="24.75" thickBot="1">
      <c r="A57" s="1355"/>
      <c r="B57" s="896" t="s">
        <v>761</v>
      </c>
      <c r="C57" s="230">
        <f ca="1">C29</f>
        <v>0</v>
      </c>
      <c r="D57" s="1356"/>
      <c r="E57" s="1357"/>
      <c r="F57" s="1358"/>
      <c r="I57" s="1359" t="s">
        <v>838</v>
      </c>
      <c r="J57" s="1360">
        <f ca="1">IF(OR(M47="住宅",J51&lt;L48,J56="是"),"——",J51-L48)</f>
        <v>0</v>
      </c>
      <c r="K57" s="1327" t="s">
        <v>886</v>
      </c>
      <c r="L57" s="1330">
        <f ca="1">IF(L48&lt;J51,"——",IF(L55="比较法",L49,IF(L55="基准地价",L50,L51)))</f>
        <v>0</v>
      </c>
      <c r="O57" s="1324" t="s">
        <v>404</v>
      </c>
      <c r="P57" s="1325" t="s">
        <v>887</v>
      </c>
      <c r="Q57" s="1326" t="e">
        <f ca="1">L60</f>
        <v>#DIV/0!</v>
      </c>
      <c r="R57" s="1326" t="s">
        <v>888</v>
      </c>
    </row>
    <row r="58" spans="1:18" s="1291" customFormat="1" ht="24.75" thickBot="1">
      <c r="A58" s="307" t="s">
        <v>393</v>
      </c>
      <c r="B58" s="904" t="s">
        <v>708</v>
      </c>
      <c r="C58" s="308">
        <f ca="1">ROUND(C59+C64+C65+C66,0)</f>
        <v>0</v>
      </c>
      <c r="D58" s="906" t="s">
        <v>709</v>
      </c>
      <c r="E58" s="907"/>
      <c r="F58" s="908"/>
      <c r="I58" s="1359" t="s">
        <v>842</v>
      </c>
      <c r="J58" s="1361" t="e">
        <f ca="1">IF(J55&lt;0.4,0.4,J55)</f>
        <v>#DIV/0!</v>
      </c>
      <c r="K58" s="1338" t="s">
        <v>889</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IF(项目基本情况!B11="自然人","——",ROUND(C48*F60/(1+'数据-取费表'!C42),0))</f>
        <v>0</v>
      </c>
      <c r="D60" s="910" t="s">
        <v>718</v>
      </c>
      <c r="E60" s="896" t="s">
        <v>706</v>
      </c>
      <c r="F60" s="322">
        <f t="shared" ref="F60:F66" si="0">F32</f>
        <v>5.6000000000000001E-2</v>
      </c>
      <c r="I60" s="1362" t="s">
        <v>847</v>
      </c>
      <c r="J60" s="1363" t="e">
        <f ca="1">IF(OR(M47="住宅",J51&lt;L48,J56="是"),"0",ROUND(J59/(1+J52)^J53,0))</f>
        <v>#DIV/0!</v>
      </c>
      <c r="K60" s="1364" t="s">
        <v>848</v>
      </c>
      <c r="L60" s="1363" t="e">
        <f ca="1">IF(OR(M47="住宅",L48&lt;J51),0,ROUND(L57*(L58/L59-1),0))</f>
        <v>#DIV/0!</v>
      </c>
      <c r="O60" s="1333" t="s">
        <v>407</v>
      </c>
      <c r="P60" s="1325" t="s">
        <v>849</v>
      </c>
      <c r="Q60" s="1326" t="e">
        <f ca="1">L58</f>
        <v>#DIV/0!</v>
      </c>
      <c r="R60" s="1326" t="s">
        <v>850</v>
      </c>
    </row>
    <row r="61" spans="1:18" s="1291" customFormat="1" ht="13.5" thickBot="1">
      <c r="A61" s="928" t="s">
        <v>775</v>
      </c>
      <c r="B61" s="896" t="s">
        <v>776</v>
      </c>
      <c r="C61" s="21">
        <f ca="1">IF(项目基本情况!B11="自然人","——",IF(D61="按租金收入计税",ROUND(C49*F61/(1+'数据-取费表'!C42),0),IF(D61="按房产原值计税",ROUND(C57*F61*0.7,0),INDIRECT("'数据-取费表'!Aj"&amp;$G$1))))</f>
        <v>0</v>
      </c>
      <c r="D61" s="1277" t="s">
        <v>3334</v>
      </c>
      <c r="E61" s="896" t="s">
        <v>777</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779</v>
      </c>
      <c r="C62" s="22">
        <f ca="1">IF(项目基本情况!B11="自然人","——",ROUND(F62*F63,0))</f>
        <v>0</v>
      </c>
      <c r="D62" s="911" t="s">
        <v>780</v>
      </c>
      <c r="E62" s="896" t="s">
        <v>781</v>
      </c>
      <c r="F62" s="317">
        <f t="shared" si="0"/>
        <v>0</v>
      </c>
      <c r="I62" s="1366" t="s">
        <v>852</v>
      </c>
      <c r="J62" s="610" t="s">
        <v>853</v>
      </c>
      <c r="K62" s="610" t="s">
        <v>854</v>
      </c>
      <c r="L62" s="610" t="s">
        <v>855</v>
      </c>
      <c r="M62" s="1367" t="s">
        <v>856</v>
      </c>
      <c r="O62" s="1324" t="s">
        <v>409</v>
      </c>
      <c r="P62" s="1325" t="s">
        <v>857</v>
      </c>
      <c r="Q62" s="1326" t="e">
        <f ca="1">Q56+Q57</f>
        <v>#N/A</v>
      </c>
      <c r="R62" s="1326" t="s">
        <v>410</v>
      </c>
    </row>
    <row r="63" spans="1:18" s="1291" customFormat="1" ht="13.5" thickBot="1">
      <c r="A63" s="318"/>
      <c r="B63" s="902"/>
      <c r="C63" s="26"/>
      <c r="D63" s="912"/>
      <c r="E63" s="896" t="s">
        <v>782</v>
      </c>
      <c r="F63" s="295">
        <f t="shared" ca="1" si="0"/>
        <v>0</v>
      </c>
      <c r="I63" s="1366" t="s">
        <v>858</v>
      </c>
      <c r="J63" s="610">
        <v>70</v>
      </c>
      <c r="K63" s="610">
        <v>50</v>
      </c>
      <c r="L63" s="610">
        <v>80</v>
      </c>
      <c r="M63" s="1368">
        <v>0.02</v>
      </c>
      <c r="O63" s="1309" t="s">
        <v>859</v>
      </c>
      <c r="P63" s="1288"/>
      <c r="Q63" s="1288"/>
      <c r="R63" s="1288"/>
    </row>
    <row r="64" spans="1:18" s="1291" customFormat="1" ht="13.5" thickBot="1">
      <c r="A64" s="928" t="s">
        <v>783</v>
      </c>
      <c r="B64" s="896" t="s">
        <v>784</v>
      </c>
      <c r="C64" s="21">
        <f ca="1">ROUND(C57*F64,0)</f>
        <v>0</v>
      </c>
      <c r="D64" s="910" t="s">
        <v>785</v>
      </c>
      <c r="E64" s="896" t="s">
        <v>777</v>
      </c>
      <c r="F64" s="320">
        <f t="shared" ca="1" si="0"/>
        <v>5.0000000000000001E-3</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ROUND(C56*F65,0)</f>
        <v>0</v>
      </c>
      <c r="D65" s="910" t="s">
        <v>737</v>
      </c>
      <c r="E65" s="896" t="s">
        <v>738</v>
      </c>
      <c r="F65" s="321">
        <f t="shared" ca="1" si="0"/>
        <v>1E-3</v>
      </c>
      <c r="I65" s="1366" t="s">
        <v>861</v>
      </c>
      <c r="J65" s="610">
        <v>40</v>
      </c>
      <c r="K65" s="610">
        <v>30</v>
      </c>
      <c r="L65" s="610">
        <v>50</v>
      </c>
      <c r="M65" s="1368">
        <v>0.02</v>
      </c>
      <c r="O65" s="1324" t="s">
        <v>403</v>
      </c>
      <c r="P65" s="1325" t="s">
        <v>862</v>
      </c>
      <c r="Q65" s="1326" t="e">
        <f ca="1">C40+J29</f>
        <v>#N/A</v>
      </c>
      <c r="R65" s="1326" t="s">
        <v>812</v>
      </c>
    </row>
    <row r="66" spans="1:18" s="1291" customFormat="1" ht="16.5" thickBot="1">
      <c r="A66" s="928" t="s">
        <v>787</v>
      </c>
      <c r="B66" s="896" t="s">
        <v>722</v>
      </c>
      <c r="C66" s="21">
        <f ca="1">ROUND(C48*F66,0)</f>
        <v>0</v>
      </c>
      <c r="D66" s="910" t="s">
        <v>788</v>
      </c>
      <c r="E66" s="896" t="s">
        <v>706</v>
      </c>
      <c r="F66" s="304">
        <f t="shared" ca="1" si="0"/>
        <v>5.0000000000000001E-3</v>
      </c>
      <c r="O66" s="1324" t="s">
        <v>404</v>
      </c>
      <c r="P66" s="1325" t="s">
        <v>840</v>
      </c>
      <c r="Q66" s="1326" t="e">
        <f ca="1">L60</f>
        <v>#DIV/0!</v>
      </c>
      <c r="R66" s="1326" t="s">
        <v>863</v>
      </c>
    </row>
    <row r="67" spans="1:18" s="1291" customFormat="1" ht="16.5" thickBot="1">
      <c r="A67" s="903" t="s">
        <v>394</v>
      </c>
      <c r="B67" s="913" t="s">
        <v>746</v>
      </c>
      <c r="C67" s="308">
        <f ca="1">C48-C58</f>
        <v>0</v>
      </c>
      <c r="D67" s="909" t="s">
        <v>747</v>
      </c>
      <c r="E67" s="914"/>
      <c r="F67" s="915"/>
      <c r="O67" s="1333" t="s">
        <v>405</v>
      </c>
      <c r="P67" s="1325" t="s">
        <v>844</v>
      </c>
      <c r="Q67" s="1369">
        <f ca="1">L51</f>
        <v>0</v>
      </c>
      <c r="R67" s="1326" t="s">
        <v>864</v>
      </c>
    </row>
    <row r="68" spans="1:18" s="1291" customFormat="1" ht="16.5" thickBot="1">
      <c r="A68" s="893" t="s">
        <v>395</v>
      </c>
      <c r="B68" s="894" t="s">
        <v>768</v>
      </c>
      <c r="C68" s="293" t="e">
        <f ca="1">ROUND(C67*(1-((1+F70)/(1+F68))^F69)/(F68-F70),0)</f>
        <v>#N/A</v>
      </c>
      <c r="D68" s="911" t="s">
        <v>752</v>
      </c>
      <c r="E68" s="896" t="s">
        <v>753</v>
      </c>
      <c r="F68" s="304">
        <f ca="1">F40</f>
        <v>0</v>
      </c>
      <c r="O68" s="1333" t="s">
        <v>406</v>
      </c>
      <c r="P68" s="1370" t="s">
        <v>865</v>
      </c>
      <c r="Q68" s="1326">
        <f ca="1">ROUND(Q69-Q70*Q71,0)</f>
        <v>116343</v>
      </c>
      <c r="R68" s="1326" t="s">
        <v>414</v>
      </c>
    </row>
    <row r="69" spans="1:18" s="1291" customFormat="1" ht="13.5" thickBot="1">
      <c r="A69" s="897"/>
      <c r="B69" s="898"/>
      <c r="C69" s="298"/>
      <c r="D69" s="916" t="s">
        <v>756</v>
      </c>
      <c r="E69" s="896" t="s">
        <v>757</v>
      </c>
      <c r="F69" s="324" t="e">
        <f ca="1">F41</f>
        <v>#N/A</v>
      </c>
      <c r="O69" s="1333" t="s">
        <v>411</v>
      </c>
      <c r="P69" s="1370" t="s">
        <v>866</v>
      </c>
      <c r="Q69" s="1326">
        <f ca="1">C39</f>
        <v>116343</v>
      </c>
      <c r="R69" s="1326" t="s">
        <v>812</v>
      </c>
    </row>
    <row r="70" spans="1:18" s="1291" customFormat="1" ht="13.5" thickBot="1">
      <c r="A70" s="900"/>
      <c r="B70" s="901"/>
      <c r="C70" s="302"/>
      <c r="D70" s="912"/>
      <c r="E70" s="896" t="s">
        <v>760</v>
      </c>
      <c r="F70" s="991"/>
      <c r="O70" s="1333" t="s">
        <v>412</v>
      </c>
      <c r="P70" s="1370" t="s">
        <v>867</v>
      </c>
      <c r="Q70" s="1326">
        <f ca="1">C13</f>
        <v>0</v>
      </c>
      <c r="R70" s="1326" t="s">
        <v>812</v>
      </c>
    </row>
    <row r="71" spans="1:18" s="1291" customFormat="1" ht="13.5" thickBot="1">
      <c r="A71" s="917" t="s">
        <v>396</v>
      </c>
      <c r="B71" s="918" t="s">
        <v>770</v>
      </c>
      <c r="C71" s="327" t="e">
        <f ca="1">ROUND(C68/F71,0)</f>
        <v>#N/A</v>
      </c>
      <c r="D71" s="919" t="s">
        <v>771</v>
      </c>
      <c r="E71" s="920" t="s">
        <v>772</v>
      </c>
      <c r="F71" s="330">
        <f ca="1">F43</f>
        <v>0</v>
      </c>
      <c r="O71" s="1333" t="s">
        <v>413</v>
      </c>
      <c r="P71" s="1370" t="s">
        <v>868</v>
      </c>
      <c r="Q71" s="1336">
        <f ca="1">C76</f>
        <v>0</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0</v>
      </c>
      <c r="D75" s="1291"/>
      <c r="E75" s="1291"/>
      <c r="F75" s="1291"/>
      <c r="K75" s="1308"/>
      <c r="L75" s="1291"/>
      <c r="O75" s="1324" t="s">
        <v>409</v>
      </c>
      <c r="P75" s="1325" t="s">
        <v>832</v>
      </c>
      <c r="Q75" s="1326" t="e">
        <f ca="1">Q65+Q66</f>
        <v>#N/A</v>
      </c>
      <c r="R75" s="1326" t="s">
        <v>410</v>
      </c>
    </row>
    <row r="76" spans="1:18">
      <c r="B76" s="333" t="s">
        <v>790</v>
      </c>
      <c r="C76" s="334">
        <f ca="1">INDIRECT("'数据-取费表'!j"&amp;$G$1)</f>
        <v>0</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1</v>
      </c>
    </row>
    <row r="80" spans="1:18">
      <c r="B80" s="331" t="s">
        <v>794</v>
      </c>
      <c r="C80" s="266">
        <f ca="1">ROUND(C75/C39,3)</f>
        <v>0</v>
      </c>
    </row>
    <row r="81" spans="2:3">
      <c r="B81" s="262" t="s">
        <v>795</v>
      </c>
      <c r="C81" s="230"/>
    </row>
    <row r="82" spans="2:3">
      <c r="B82" s="265" t="s">
        <v>796</v>
      </c>
      <c r="C82" s="267" t="e">
        <f ca="1">1-C83</f>
        <v>#N/A</v>
      </c>
    </row>
    <row r="83" spans="2:3">
      <c r="B83" s="265" t="s">
        <v>797</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2" t="s">
        <v>2313</v>
      </c>
      <c r="B2" s="2589" t="e">
        <f>IF(D2="——",C40,C40+E2)</f>
        <v>#DIV/0!</v>
      </c>
      <c r="C2" s="2590" t="s">
        <v>2314</v>
      </c>
      <c r="D2" s="3133" t="s">
        <v>3357</v>
      </c>
      <c r="E2" s="3134"/>
      <c r="F2" s="2592"/>
      <c r="G2" s="2593"/>
      <c r="H2" s="2594"/>
      <c r="I2" s="2595"/>
      <c r="J2" s="3524" t="s">
        <v>2315</v>
      </c>
      <c r="K2" s="3525"/>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526" t="s">
        <v>2325</v>
      </c>
      <c r="K3" s="3527"/>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526" t="s">
        <v>2327</v>
      </c>
      <c r="K4" s="3527"/>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532" t="s">
        <v>2331</v>
      </c>
      <c r="B6" s="3533"/>
      <c r="C6" s="3534"/>
      <c r="D6" s="2616"/>
      <c r="E6" s="2617"/>
      <c r="F6" s="2618"/>
      <c r="G6" s="2619"/>
      <c r="H6" s="2594"/>
      <c r="I6" s="2595"/>
      <c r="J6" s="3518">
        <v>1</v>
      </c>
      <c r="K6" s="3519"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518"/>
      <c r="K7" s="3520"/>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535" t="s">
        <v>2345</v>
      </c>
      <c r="C8" s="3536"/>
      <c r="D8" s="2635" t="s">
        <v>2346</v>
      </c>
      <c r="E8" s="2636" t="s">
        <v>2347</v>
      </c>
      <c r="F8" s="2637" t="s">
        <v>2348</v>
      </c>
      <c r="G8" s="2638"/>
      <c r="H8" s="2594"/>
      <c r="I8" s="2595"/>
      <c r="J8" s="3518"/>
      <c r="K8" s="3520"/>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535" t="s">
        <v>2351</v>
      </c>
      <c r="C9" s="3536"/>
      <c r="D9" s="2635">
        <f>ROUND(D6*E9,0)</f>
        <v>0</v>
      </c>
      <c r="E9" s="2639"/>
      <c r="F9" s="2640" t="s">
        <v>2352</v>
      </c>
      <c r="G9" s="2619"/>
      <c r="H9" s="2594"/>
      <c r="I9" s="2595"/>
      <c r="J9" s="3518"/>
      <c r="K9" s="3520"/>
      <c r="L9" s="2629" t="s">
        <v>2353</v>
      </c>
      <c r="M9" s="2630"/>
      <c r="N9" s="2606"/>
      <c r="O9" s="2631"/>
      <c r="P9" s="2631"/>
      <c r="Q9" s="2632">
        <v>365</v>
      </c>
      <c r="R9" s="2633">
        <f t="shared" si="0"/>
        <v>0</v>
      </c>
      <c r="S9" s="2587"/>
      <c r="T9" s="2587"/>
      <c r="U9" s="2587"/>
      <c r="V9" s="2595"/>
    </row>
    <row r="10" spans="1:22" s="2599" customFormat="1" ht="13.15" customHeight="1">
      <c r="A10" s="2634">
        <v>2</v>
      </c>
      <c r="B10" s="3535" t="s">
        <v>2354</v>
      </c>
      <c r="C10" s="3536"/>
      <c r="D10" s="2635">
        <f>ROUND(D6*E10,0)</f>
        <v>0</v>
      </c>
      <c r="E10" s="2639"/>
      <c r="F10" s="2640" t="s">
        <v>2355</v>
      </c>
      <c r="G10" s="2619"/>
      <c r="H10" s="2594"/>
      <c r="I10" s="2595"/>
      <c r="J10" s="3518"/>
      <c r="K10" s="3520"/>
      <c r="L10" s="2629" t="s">
        <v>2356</v>
      </c>
      <c r="M10" s="2630"/>
      <c r="N10" s="2606"/>
      <c r="O10" s="2631"/>
      <c r="P10" s="2631"/>
      <c r="Q10" s="2632">
        <v>365</v>
      </c>
      <c r="R10" s="2633">
        <f t="shared" si="0"/>
        <v>0</v>
      </c>
      <c r="S10" s="2587"/>
      <c r="T10" s="2587"/>
      <c r="U10" s="2587"/>
      <c r="V10" s="2595"/>
    </row>
    <row r="11" spans="1:22" s="2599" customFormat="1" ht="13.15" customHeight="1">
      <c r="A11" s="2634">
        <v>3</v>
      </c>
      <c r="B11" s="3535" t="s">
        <v>2357</v>
      </c>
      <c r="C11" s="3536"/>
      <c r="D11" s="2635">
        <f>D12+D14+D15+D16</f>
        <v>0</v>
      </c>
      <c r="E11" s="2641" t="e">
        <f>D11/D6</f>
        <v>#DIV/0!</v>
      </c>
      <c r="F11" s="2637"/>
      <c r="G11" s="2638"/>
      <c r="H11" s="2594"/>
      <c r="I11" s="2595"/>
      <c r="J11" s="3518"/>
      <c r="K11" s="3520"/>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528" t="s">
        <v>2360</v>
      </c>
      <c r="C12" s="3529"/>
      <c r="D12" s="2643">
        <f>ROUND(D13*1.2%*(1-30%),0)</f>
        <v>0</v>
      </c>
      <c r="E12" s="2644">
        <v>1.2E-2</v>
      </c>
      <c r="F12" s="2637" t="s">
        <v>2361</v>
      </c>
      <c r="G12" s="2638"/>
      <c r="H12" s="2594"/>
      <c r="I12" s="2595"/>
      <c r="J12" s="3518"/>
      <c r="K12" s="3520"/>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518"/>
      <c r="K13" s="3520"/>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528" t="s">
        <v>2366</v>
      </c>
      <c r="C14" s="3529"/>
      <c r="D14" s="2643">
        <f>ROUND(E14*B5/10000,0)</f>
        <v>0</v>
      </c>
      <c r="E14" s="2632"/>
      <c r="F14" s="2637" t="s">
        <v>2367</v>
      </c>
      <c r="G14" s="2638"/>
      <c r="H14" s="2594"/>
      <c r="I14" s="2595"/>
      <c r="J14" s="3518"/>
      <c r="K14" s="3521"/>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528" t="s">
        <v>2370</v>
      </c>
      <c r="C15" s="3529"/>
      <c r="D15" s="2643">
        <f>ROUND(D6*E15,0)</f>
        <v>0</v>
      </c>
      <c r="E15" s="2644">
        <v>5.5E-2</v>
      </c>
      <c r="F15" s="2637" t="s">
        <v>2371</v>
      </c>
      <c r="G15" s="2619"/>
      <c r="H15" s="2594"/>
      <c r="I15" s="2595"/>
      <c r="J15" s="3518">
        <v>2</v>
      </c>
      <c r="K15" s="3519"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528" t="s">
        <v>2379</v>
      </c>
      <c r="C16" s="3529"/>
      <c r="D16" s="2654">
        <f>D6*E16</f>
        <v>0</v>
      </c>
      <c r="E16" s="2655"/>
      <c r="F16" s="2640" t="s">
        <v>2380</v>
      </c>
      <c r="G16" s="2619"/>
      <c r="H16" s="2594"/>
      <c r="I16" s="2595"/>
      <c r="J16" s="3518"/>
      <c r="K16" s="3520"/>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530" t="s">
        <v>2382</v>
      </c>
      <c r="C17" s="3531"/>
      <c r="D17" s="2657">
        <f>ROUND(D6*E17,0)</f>
        <v>0</v>
      </c>
      <c r="E17" s="2658"/>
      <c r="F17" s="2659" t="s">
        <v>2383</v>
      </c>
      <c r="G17" s="2619"/>
      <c r="H17" s="2594"/>
      <c r="I17" s="2595"/>
      <c r="J17" s="3518"/>
      <c r="K17" s="3520"/>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518"/>
      <c r="K18" s="3520"/>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518"/>
      <c r="K19" s="3521"/>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518">
        <v>3</v>
      </c>
      <c r="K20" s="3519"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518"/>
      <c r="K21" s="3520"/>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518"/>
      <c r="K22" s="3520"/>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518"/>
      <c r="K23" s="3520"/>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518"/>
      <c r="K24" s="3521"/>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522">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523"/>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524" t="s">
        <v>2315</v>
      </c>
      <c r="K32" s="3525"/>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526" t="s">
        <v>2325</v>
      </c>
      <c r="K33" s="3527"/>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526" t="s">
        <v>2327</v>
      </c>
      <c r="K34" s="3527"/>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518">
        <v>1</v>
      </c>
      <c r="K36" s="3519"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518"/>
      <c r="K37" s="3520"/>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518"/>
      <c r="K38" s="3520"/>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518"/>
      <c r="K39" s="3520"/>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518"/>
      <c r="K40" s="3521"/>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522">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523"/>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1652</v>
      </c>
      <c r="B1" s="1725"/>
      <c r="C1" s="1725"/>
      <c r="D1" s="1725"/>
      <c r="E1" s="1726"/>
      <c r="F1" s="2474"/>
      <c r="G1" s="459"/>
      <c r="H1" s="459"/>
      <c r="I1" s="459"/>
      <c r="J1" s="459"/>
      <c r="K1" s="459"/>
      <c r="L1" s="459"/>
      <c r="M1" s="459"/>
      <c r="N1" s="459"/>
      <c r="O1" s="459"/>
      <c r="P1" s="459"/>
      <c r="Q1" s="459"/>
      <c r="R1" s="459"/>
      <c r="S1" s="459"/>
    </row>
    <row r="2" spans="1:22" ht="15.75">
      <c r="A2" s="1727" t="s">
        <v>1456</v>
      </c>
      <c r="B2" s="811" t="e">
        <f ca="1">SUMIF(B6:B13,"&lt;&gt;#ref!",B6:B13)</f>
        <v>#N/A</v>
      </c>
      <c r="C2" s="1728" t="s">
        <v>1645</v>
      </c>
      <c r="D2" s="1729" t="s">
        <v>1646</v>
      </c>
      <c r="E2" s="2388">
        <f>SUM(E6:E13)</f>
        <v>86196.960000000021</v>
      </c>
      <c r="F2" s="2474"/>
      <c r="G2" s="459"/>
      <c r="H2" s="459"/>
      <c r="I2" s="459"/>
      <c r="J2" s="459"/>
      <c r="K2" s="459"/>
      <c r="L2" s="459"/>
      <c r="M2" s="459"/>
      <c r="N2" s="459"/>
      <c r="O2" s="459"/>
      <c r="P2" s="459"/>
      <c r="Q2" s="459"/>
      <c r="R2" s="459"/>
      <c r="S2" s="459"/>
    </row>
    <row r="3" spans="1:22" ht="15.75">
      <c r="A3" s="1727" t="s">
        <v>680</v>
      </c>
      <c r="B3" s="2382" t="e">
        <f ca="1">ROUND(B2*10000/E2,0)</f>
        <v>#N/A</v>
      </c>
      <c r="C3" s="1728" t="s">
        <v>1653</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4" t="s">
        <v>1647</v>
      </c>
      <c r="B5" s="3537" t="s">
        <v>1648</v>
      </c>
      <c r="C5" s="3538"/>
      <c r="D5" s="2475"/>
      <c r="E5" s="1730" t="s">
        <v>1649</v>
      </c>
      <c r="F5" s="129" t="s">
        <v>1650</v>
      </c>
      <c r="G5" s="459"/>
      <c r="H5" s="459"/>
      <c r="I5" s="459"/>
      <c r="J5" s="459"/>
      <c r="K5" s="459"/>
      <c r="L5" s="459"/>
      <c r="M5" s="459"/>
      <c r="N5" s="459"/>
      <c r="O5" s="459"/>
      <c r="P5" s="459"/>
      <c r="Q5" s="459"/>
      <c r="R5" s="459"/>
      <c r="S5" s="459"/>
    </row>
    <row r="6" spans="1:22">
      <c r="A6" s="2385" t="str">
        <f>'数据-取费表'!AN6</f>
        <v>收益法</v>
      </c>
      <c r="B6" s="2383">
        <f ca="1">IF(F6="是",'数据-取费表'!AO6,0)</f>
        <v>2142176</v>
      </c>
      <c r="C6" s="1728" t="s">
        <v>1645</v>
      </c>
      <c r="D6" s="2474"/>
      <c r="E6" s="2387">
        <f>IF(OR(A6=0,F6="否"),0,'数据-取费表'!K6+'数据-取费表'!S6)</f>
        <v>85571.080000000016</v>
      </c>
      <c r="F6" s="1731" t="s">
        <v>1651</v>
      </c>
      <c r="G6" s="459"/>
      <c r="H6" s="459"/>
      <c r="I6" s="459"/>
      <c r="J6" s="459"/>
      <c r="K6" s="459"/>
      <c r="L6" s="459"/>
      <c r="M6" s="459"/>
      <c r="N6" s="459"/>
      <c r="O6" s="459"/>
      <c r="P6" s="459"/>
      <c r="Q6" s="459"/>
      <c r="R6" s="459"/>
      <c r="S6" s="459"/>
    </row>
    <row r="7" spans="1:22">
      <c r="A7" s="2385" t="str">
        <f>'数据-取费表'!AN7</f>
        <v>收益法-商业</v>
      </c>
      <c r="B7" s="2383">
        <f ca="1">IF(F7="是",'数据-取费表'!AO7,0)</f>
        <v>450</v>
      </c>
      <c r="C7" s="1728" t="s">
        <v>1645</v>
      </c>
      <c r="D7" s="2474"/>
      <c r="E7" s="2387">
        <f>IF(OR(A7=0,F7="否"),0,'数据-取费表'!K7+'数据-取费表'!S7)</f>
        <v>625.88</v>
      </c>
      <c r="F7" s="1731" t="s">
        <v>1651</v>
      </c>
      <c r="G7" s="459"/>
      <c r="H7" s="459"/>
      <c r="I7" s="459"/>
      <c r="J7" s="459"/>
      <c r="K7" s="459"/>
      <c r="L7" s="459"/>
      <c r="M7" s="459"/>
      <c r="N7" s="459"/>
      <c r="O7" s="459"/>
      <c r="P7" s="459"/>
      <c r="Q7" s="459"/>
      <c r="R7" s="459"/>
      <c r="S7" s="459"/>
    </row>
    <row r="8" spans="1:22">
      <c r="A8" s="2385" t="str">
        <f>'数据-取费表'!AN8</f>
        <v>收益法-地下车库</v>
      </c>
      <c r="B8" s="2383" t="e">
        <f ca="1">IF(F8="是",'数据-取费表'!AO8,0)</f>
        <v>#N/A</v>
      </c>
      <c r="C8" s="1728" t="s">
        <v>1645</v>
      </c>
      <c r="D8" s="2474"/>
      <c r="E8" s="2387">
        <f>IF(OR(A8=0,F8="否"),0,'数据-取费表'!K8+'数据-取费表'!S8)</f>
        <v>0</v>
      </c>
      <c r="F8" s="1731" t="s">
        <v>1651</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1645</v>
      </c>
      <c r="D9" s="2474"/>
      <c r="E9" s="2387">
        <f>IF(OR(A9=0,F9="否"),0,'数据-取费表'!K9+'数据-取费表'!S9)</f>
        <v>0</v>
      </c>
      <c r="F9" s="1731" t="s">
        <v>1651</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1645</v>
      </c>
      <c r="D10" s="2474"/>
      <c r="E10" s="2387">
        <f>IF(OR(A10=0,F10="否"),0,'数据-取费表'!K10+'数据-取费表'!S10)</f>
        <v>0</v>
      </c>
      <c r="F10" s="1731" t="s">
        <v>1651</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1645</v>
      </c>
      <c r="D11" s="2474"/>
      <c r="E11" s="2387">
        <f>IF(OR(A11=0,F11="否"),0,'数据-取费表'!K11+'数据-取费表'!S11)</f>
        <v>0</v>
      </c>
      <c r="F11" s="1731" t="s">
        <v>1651</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1645</v>
      </c>
      <c r="D12" s="2474"/>
      <c r="E12" s="2387">
        <f>IF(OR(A12=0,F12="否"),0,'数据-取费表'!K12+'数据-取费表'!S12)</f>
        <v>0</v>
      </c>
      <c r="F12" s="1731" t="s">
        <v>1651</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1645</v>
      </c>
      <c r="D13" s="2476"/>
      <c r="E13" s="2387">
        <f>IF(OR(A13=0,F13="否"),0,'数据-取费表'!K13+'数据-取费表'!S13)</f>
        <v>0</v>
      </c>
      <c r="F13" s="1731" t="s">
        <v>1651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733" t="s">
        <v>1760</v>
      </c>
      <c r="C1" s="1154" t="s">
        <v>1656</v>
      </c>
      <c r="D1" s="1141"/>
      <c r="E1" s="3119"/>
      <c r="F1" s="1734"/>
      <c r="G1" s="1151" t="s">
        <v>1761</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1456</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1457</v>
      </c>
      <c r="F2" s="1738"/>
      <c r="G2" s="855"/>
      <c r="H2" s="855"/>
      <c r="I2" s="855"/>
      <c r="J2" s="855"/>
      <c r="K2" s="855"/>
      <c r="L2" s="2498"/>
      <c r="M2" s="2499"/>
      <c r="N2" s="2499"/>
      <c r="O2" s="2499"/>
      <c r="P2" s="1800"/>
      <c r="Q2" s="859"/>
      <c r="R2" s="859"/>
      <c r="S2" s="859"/>
      <c r="T2" s="859"/>
      <c r="U2" s="859"/>
      <c r="V2" s="859"/>
      <c r="W2" s="859"/>
      <c r="X2" s="859"/>
      <c r="Y2" s="859"/>
      <c r="Z2" s="859"/>
      <c r="AA2" s="859"/>
      <c r="AB2" s="859"/>
      <c r="AC2" s="1801"/>
    </row>
    <row r="3" spans="1:29" s="342" customFormat="1" ht="28.5" customHeight="1" thickBot="1">
      <c r="A3" s="195" t="s">
        <v>1458</v>
      </c>
      <c r="B3" s="536">
        <f>IF(C2="——",C49,ROUND(B2*10000/D3,0))</f>
        <v>0</v>
      </c>
      <c r="C3" s="344" t="s">
        <v>1762</v>
      </c>
      <c r="D3" s="343">
        <f>IF(D1="",'数据-汇总表'!E3,SUMIF('数据-汇总表'!$C19:$C33,D1,'数据-汇总表'!$E19:$E33))</f>
        <v>86196.960000000021</v>
      </c>
      <c r="E3" s="1801"/>
      <c r="F3" s="856"/>
      <c r="G3" s="855"/>
      <c r="H3" s="855"/>
      <c r="I3" s="855"/>
      <c r="J3" s="855"/>
      <c r="K3" s="857"/>
      <c r="L3" s="2498"/>
      <c r="M3" s="2499"/>
      <c r="N3" s="2499"/>
      <c r="O3" s="2499"/>
      <c r="P3" s="1800"/>
      <c r="Q3" s="859"/>
      <c r="R3" s="859"/>
      <c r="S3" s="859"/>
      <c r="T3" s="859"/>
      <c r="U3" s="859"/>
      <c r="V3" s="859"/>
      <c r="W3" s="859"/>
      <c r="X3" s="859"/>
      <c r="Y3" s="859"/>
      <c r="Z3" s="859"/>
      <c r="AA3" s="859"/>
      <c r="AB3" s="859"/>
      <c r="AC3" s="1801"/>
    </row>
    <row r="4" spans="1:29" ht="15">
      <c r="A4" s="345" t="s">
        <v>1763</v>
      </c>
      <c r="B4" s="346"/>
      <c r="C4" s="3477" t="s">
        <v>1764</v>
      </c>
      <c r="D4" s="3478"/>
      <c r="E4" s="3479" t="s">
        <v>1765</v>
      </c>
      <c r="F4" s="3480"/>
      <c r="G4" s="3477" t="s">
        <v>1766</v>
      </c>
      <c r="H4" s="3478"/>
      <c r="I4" s="3477" t="s">
        <v>1767</v>
      </c>
      <c r="J4" s="3478"/>
      <c r="K4" s="537" t="s">
        <v>1768</v>
      </c>
      <c r="L4" s="2481"/>
      <c r="M4" s="2482"/>
      <c r="N4" s="2482"/>
      <c r="O4" s="2482"/>
      <c r="P4" s="3481" t="s">
        <v>1769</v>
      </c>
      <c r="Q4" s="3482"/>
      <c r="R4" s="3487" t="s">
        <v>1765</v>
      </c>
      <c r="S4" s="3488"/>
      <c r="T4" s="3487" t="s">
        <v>1766</v>
      </c>
      <c r="U4" s="3488"/>
      <c r="V4" s="3463" t="s">
        <v>1767</v>
      </c>
      <c r="W4" s="3463"/>
      <c r="X4" s="1264"/>
      <c r="Y4" s="3487" t="s">
        <v>1769</v>
      </c>
      <c r="Z4" s="3488"/>
      <c r="AA4" s="3474" t="s">
        <v>1765</v>
      </c>
      <c r="AB4" s="3463" t="s">
        <v>1766</v>
      </c>
      <c r="AC4" s="3474" t="s">
        <v>1767</v>
      </c>
    </row>
    <row r="5" spans="1:29" ht="15">
      <c r="A5" s="348"/>
      <c r="B5" s="349"/>
      <c r="C5" s="3511" t="s">
        <v>1667</v>
      </c>
      <c r="D5" s="3496"/>
      <c r="E5" s="3512" t="s">
        <v>1668</v>
      </c>
      <c r="F5" s="3503"/>
      <c r="G5" s="3511" t="s">
        <v>1669</v>
      </c>
      <c r="H5" s="3496"/>
      <c r="I5" s="3511" t="s">
        <v>1670</v>
      </c>
      <c r="J5" s="3496"/>
      <c r="K5" s="537"/>
      <c r="L5" s="2481"/>
      <c r="M5" s="2482"/>
      <c r="N5" s="2482"/>
      <c r="O5" s="2482"/>
      <c r="P5" s="3483"/>
      <c r="Q5" s="3484"/>
      <c r="R5" s="3489"/>
      <c r="S5" s="3490"/>
      <c r="T5" s="3489"/>
      <c r="U5" s="3490"/>
      <c r="V5" s="3463"/>
      <c r="W5" s="3463"/>
      <c r="X5" s="1264"/>
      <c r="Y5" s="3489"/>
      <c r="Z5" s="3490"/>
      <c r="AA5" s="3475"/>
      <c r="AB5" s="3463"/>
      <c r="AC5" s="3475"/>
    </row>
    <row r="6" spans="1:29" ht="15.75" thickBot="1">
      <c r="A6" s="350"/>
      <c r="B6" s="351"/>
      <c r="C6" s="3493" t="s">
        <v>1671</v>
      </c>
      <c r="D6" s="3494"/>
      <c r="E6" s="3500" t="s">
        <v>1671</v>
      </c>
      <c r="F6" s="3501"/>
      <c r="G6" s="3493" t="s">
        <v>1671</v>
      </c>
      <c r="H6" s="3494"/>
      <c r="I6" s="3493" t="s">
        <v>1671</v>
      </c>
      <c r="J6" s="3494"/>
      <c r="K6" s="537" t="s">
        <v>1672</v>
      </c>
      <c r="L6" s="2481"/>
      <c r="M6" s="2482"/>
      <c r="N6" s="2482"/>
      <c r="O6" s="2482"/>
      <c r="P6" s="3485"/>
      <c r="Q6" s="3486"/>
      <c r="R6" s="3489"/>
      <c r="S6" s="3490"/>
      <c r="T6" s="3491"/>
      <c r="U6" s="3492"/>
      <c r="V6" s="3463"/>
      <c r="W6" s="3463"/>
      <c r="X6" s="1264"/>
      <c r="Y6" s="3491"/>
      <c r="Z6" s="3492"/>
      <c r="AA6" s="3476"/>
      <c r="AB6" s="3463"/>
      <c r="AC6" s="3476"/>
    </row>
    <row r="7" spans="1:29" s="102" customFormat="1" ht="15.75" thickBot="1">
      <c r="A7" s="352" t="s">
        <v>1673</v>
      </c>
      <c r="B7" s="353"/>
      <c r="C7" s="354">
        <f>'数据-取费表'!B2</f>
        <v>45291</v>
      </c>
      <c r="D7" s="355">
        <v>100</v>
      </c>
      <c r="E7" s="356"/>
      <c r="F7" s="357">
        <f>SUMIF(58:58,YEAR(E7)&amp;"-"&amp;MONTH(E7),59:59)</f>
        <v>0</v>
      </c>
      <c r="G7" s="356"/>
      <c r="H7" s="355">
        <f>SUMIF(58:58,YEAR(G7)&amp;"-"&amp;MONTH(G7),59:59)</f>
        <v>0</v>
      </c>
      <c r="I7" s="356"/>
      <c r="J7" s="355">
        <f>SUMIF(58:58,YEAR(I7)&amp;"-"&amp;MONTH(I7),59:59)</f>
        <v>0</v>
      </c>
      <c r="K7" s="38"/>
      <c r="L7" s="2483"/>
      <c r="M7" s="2435"/>
      <c r="N7" s="2435"/>
      <c r="O7" s="2435"/>
      <c r="P7" s="3497" t="s">
        <v>1674</v>
      </c>
      <c r="Q7" s="3499"/>
      <c r="R7" s="664" t="s">
        <v>14</v>
      </c>
      <c r="S7" s="665">
        <f t="shared" ref="S7:S15" si="0">F7</f>
        <v>0</v>
      </c>
      <c r="T7" s="664" t="s">
        <v>14</v>
      </c>
      <c r="U7" s="665">
        <f t="shared" ref="U7:U15" si="1">H7</f>
        <v>0</v>
      </c>
      <c r="V7" s="664" t="s">
        <v>14</v>
      </c>
      <c r="W7" s="665">
        <f t="shared" ref="W7:W15" si="2">J7</f>
        <v>0</v>
      </c>
      <c r="X7" s="666"/>
      <c r="Y7" s="3497" t="s">
        <v>1674</v>
      </c>
      <c r="Z7" s="3498"/>
      <c r="AA7" s="50" t="e">
        <f>D7/F7</f>
        <v>#DIV/0!</v>
      </c>
      <c r="AB7" s="50" t="e">
        <f>D7/H7</f>
        <v>#DIV/0!</v>
      </c>
      <c r="AC7" s="50" t="e">
        <f>D7/J7</f>
        <v>#DIV/0!</v>
      </c>
    </row>
    <row r="8" spans="1:29" s="102" customFormat="1" ht="15.75" thickBot="1">
      <c r="A8" s="352" t="s">
        <v>1675</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497" t="s">
        <v>1677</v>
      </c>
      <c r="Q8" s="3498"/>
      <c r="R8" s="664" t="s">
        <v>14</v>
      </c>
      <c r="S8" s="665">
        <f t="shared" si="0"/>
        <v>100</v>
      </c>
      <c r="T8" s="664" t="s">
        <v>14</v>
      </c>
      <c r="U8" s="665">
        <f t="shared" si="1"/>
        <v>100</v>
      </c>
      <c r="V8" s="664" t="s">
        <v>14</v>
      </c>
      <c r="W8" s="665">
        <f t="shared" si="2"/>
        <v>100</v>
      </c>
      <c r="X8" s="666"/>
      <c r="Y8" s="3497" t="s">
        <v>1677</v>
      </c>
      <c r="Z8" s="3498"/>
      <c r="AA8" s="50">
        <f t="shared" ref="AA8:AA46" si="3">D8/F8</f>
        <v>1</v>
      </c>
      <c r="AB8" s="50">
        <f t="shared" ref="AB8:AB46" si="4">D8/H8</f>
        <v>1</v>
      </c>
      <c r="AC8" s="50">
        <f t="shared" ref="AC8:AC46" si="5">D8/J8</f>
        <v>1</v>
      </c>
    </row>
    <row r="9" spans="1:29" s="102" customFormat="1">
      <c r="A9" s="359" t="s">
        <v>1678</v>
      </c>
      <c r="B9" s="60" t="s">
        <v>1679</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473" t="s">
        <v>1680</v>
      </c>
      <c r="Q9" s="530" t="str">
        <f t="shared" ref="Q9:Q15" si="6">B9</f>
        <v>用途</v>
      </c>
      <c r="R9" s="664" t="s">
        <v>14</v>
      </c>
      <c r="S9" s="665">
        <f t="shared" si="0"/>
        <v>100</v>
      </c>
      <c r="T9" s="664" t="s">
        <v>14</v>
      </c>
      <c r="U9" s="665">
        <f t="shared" si="1"/>
        <v>100</v>
      </c>
      <c r="V9" s="664" t="s">
        <v>14</v>
      </c>
      <c r="W9" s="665">
        <f t="shared" si="2"/>
        <v>100</v>
      </c>
      <c r="X9" s="666"/>
      <c r="Y9" s="3366"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473"/>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1683</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473"/>
      <c r="Q11" s="530" t="str">
        <f t="shared" si="6"/>
        <v>容积率</v>
      </c>
      <c r="R11" s="664" t="s">
        <v>14</v>
      </c>
      <c r="S11" s="665" t="e">
        <f t="shared" si="0"/>
        <v>#N/A</v>
      </c>
      <c r="T11" s="664" t="s">
        <v>14</v>
      </c>
      <c r="U11" s="665" t="e">
        <f t="shared" si="1"/>
        <v>#N/A</v>
      </c>
      <c r="V11" s="664" t="s">
        <v>14</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73"/>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73"/>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73"/>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71.25">
      <c r="A15" s="379" t="s">
        <v>1684</v>
      </c>
      <c r="B15" s="58" t="s">
        <v>1771</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71" t="s">
        <v>1685</v>
      </c>
      <c r="Q15" s="1262" t="str">
        <f t="shared" si="6"/>
        <v>商业繁华度</v>
      </c>
      <c r="R15" s="667" t="s">
        <v>14</v>
      </c>
      <c r="S15" s="668">
        <f t="shared" si="0"/>
        <v>100</v>
      </c>
      <c r="T15" s="667" t="s">
        <v>14</v>
      </c>
      <c r="U15" s="668">
        <f t="shared" si="1"/>
        <v>100</v>
      </c>
      <c r="V15" s="667" t="s">
        <v>14</v>
      </c>
      <c r="W15" s="668">
        <f t="shared" si="2"/>
        <v>100</v>
      </c>
      <c r="X15" s="1264"/>
      <c r="Y15" s="3464" t="s">
        <v>1685</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472"/>
      <c r="Q16" s="1262"/>
      <c r="R16" s="667"/>
      <c r="S16" s="668"/>
      <c r="T16" s="667"/>
      <c r="U16" s="668"/>
      <c r="V16" s="667"/>
      <c r="W16" s="668"/>
      <c r="X16" s="1264"/>
      <c r="Y16" s="3465"/>
      <c r="Z16" s="1263"/>
      <c r="AA16" s="1263">
        <v>1</v>
      </c>
      <c r="AB16" s="1263">
        <v>1</v>
      </c>
      <c r="AC16" s="1263">
        <v>1</v>
      </c>
    </row>
    <row r="17" spans="1:29" ht="85.5">
      <c r="A17" s="367"/>
      <c r="B17" s="390" t="s">
        <v>1253</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72"/>
      <c r="Q17" s="1262" t="str">
        <f>B17</f>
        <v>交通便捷度</v>
      </c>
      <c r="R17" s="667" t="s">
        <v>14</v>
      </c>
      <c r="S17" s="668">
        <f>F17</f>
        <v>100</v>
      </c>
      <c r="T17" s="667" t="s">
        <v>14</v>
      </c>
      <c r="U17" s="668">
        <f>H17</f>
        <v>100</v>
      </c>
      <c r="V17" s="667" t="s">
        <v>14</v>
      </c>
      <c r="W17" s="668">
        <f>J17</f>
        <v>100</v>
      </c>
      <c r="X17" s="1264"/>
      <c r="Y17" s="3465"/>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7"/>
      <c r="M18" s="2482"/>
      <c r="N18" s="2482"/>
      <c r="O18" s="2482"/>
      <c r="P18" s="3472"/>
      <c r="Q18" s="1262"/>
      <c r="R18" s="667"/>
      <c r="S18" s="668"/>
      <c r="T18" s="667"/>
      <c r="U18" s="668"/>
      <c r="V18" s="667"/>
      <c r="W18" s="668"/>
      <c r="X18" s="1264"/>
      <c r="Y18" s="3465"/>
      <c r="Z18" s="1263"/>
      <c r="AA18" s="1263">
        <v>1</v>
      </c>
      <c r="AB18" s="1263">
        <v>1</v>
      </c>
      <c r="AC18" s="1263">
        <v>1</v>
      </c>
    </row>
    <row r="19" spans="1:29" ht="42.75">
      <c r="A19" s="367"/>
      <c r="B19" s="390" t="s">
        <v>1772</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72"/>
      <c r="Q19" s="1262" t="str">
        <f>B19</f>
        <v>公共配套设施</v>
      </c>
      <c r="R19" s="667" t="s">
        <v>14</v>
      </c>
      <c r="S19" s="668">
        <f>F19</f>
        <v>100</v>
      </c>
      <c r="T19" s="667" t="s">
        <v>14</v>
      </c>
      <c r="U19" s="668">
        <f>H19</f>
        <v>100</v>
      </c>
      <c r="V19" s="667" t="s">
        <v>14</v>
      </c>
      <c r="W19" s="668">
        <f>J19</f>
        <v>100</v>
      </c>
      <c r="X19" s="1264"/>
      <c r="Y19" s="3465"/>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7"/>
      <c r="M20" s="2482"/>
      <c r="N20" s="2482"/>
      <c r="O20" s="2482"/>
      <c r="P20" s="3472"/>
      <c r="Q20" s="1262"/>
      <c r="R20" s="667"/>
      <c r="S20" s="668"/>
      <c r="T20" s="667"/>
      <c r="U20" s="668"/>
      <c r="V20" s="667"/>
      <c r="W20" s="668"/>
      <c r="X20" s="1264"/>
      <c r="Y20" s="3465"/>
      <c r="Z20" s="1263"/>
      <c r="AA20" s="1263">
        <v>1</v>
      </c>
      <c r="AB20" s="1263">
        <v>1</v>
      </c>
      <c r="AC20" s="1263">
        <v>1</v>
      </c>
    </row>
    <row r="21" spans="1:29" ht="28.5">
      <c r="A21" s="367"/>
      <c r="B21" s="586" t="s">
        <v>1773</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72"/>
      <c r="Q21" s="1262" t="str">
        <f>B21</f>
        <v>基础设施水平</v>
      </c>
      <c r="R21" s="667" t="s">
        <v>14</v>
      </c>
      <c r="S21" s="668">
        <f>F21</f>
        <v>100</v>
      </c>
      <c r="T21" s="667" t="s">
        <v>14</v>
      </c>
      <c r="U21" s="668">
        <f>H21</f>
        <v>100</v>
      </c>
      <c r="V21" s="667" t="s">
        <v>14</v>
      </c>
      <c r="W21" s="668">
        <f>J21</f>
        <v>100</v>
      </c>
      <c r="X21" s="1264"/>
      <c r="Y21" s="3465"/>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87"/>
      <c r="M22" s="2482"/>
      <c r="N22" s="2482"/>
      <c r="O22" s="2482"/>
      <c r="P22" s="3472"/>
      <c r="Q22" s="1262"/>
      <c r="R22" s="667"/>
      <c r="S22" s="668"/>
      <c r="T22" s="667"/>
      <c r="U22" s="668"/>
      <c r="V22" s="667"/>
      <c r="W22" s="668"/>
      <c r="X22" s="1264"/>
      <c r="Y22" s="3465"/>
      <c r="Z22" s="1263"/>
      <c r="AA22" s="1263">
        <v>1</v>
      </c>
      <c r="AB22" s="1263">
        <v>1</v>
      </c>
      <c r="AC22" s="1263">
        <v>1</v>
      </c>
    </row>
    <row r="23" spans="1:29" ht="57">
      <c r="A23" s="367"/>
      <c r="B23" s="390" t="s">
        <v>1255</v>
      </c>
      <c r="C23" s="1802"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72"/>
      <c r="Q23" s="1262" t="str">
        <f>B23</f>
        <v>自然及人文环境</v>
      </c>
      <c r="R23" s="667" t="s">
        <v>14</v>
      </c>
      <c r="S23" s="668">
        <f>F23</f>
        <v>100</v>
      </c>
      <c r="T23" s="667" t="s">
        <v>14</v>
      </c>
      <c r="U23" s="668">
        <f>H23</f>
        <v>100</v>
      </c>
      <c r="V23" s="667" t="s">
        <v>14</v>
      </c>
      <c r="W23" s="668">
        <f>J23</f>
        <v>100</v>
      </c>
      <c r="X23" s="1264"/>
      <c r="Y23" s="3465"/>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7"/>
      <c r="M24" s="2482"/>
      <c r="N24" s="2482"/>
      <c r="O24" s="2482"/>
      <c r="P24" s="3472"/>
      <c r="Q24" s="1262"/>
      <c r="R24" s="667"/>
      <c r="S24" s="668"/>
      <c r="T24" s="667"/>
      <c r="U24" s="668"/>
      <c r="V24" s="667"/>
      <c r="W24" s="668"/>
      <c r="X24" s="1264"/>
      <c r="Y24" s="3465"/>
      <c r="Z24" s="1263"/>
      <c r="AA24" s="1263">
        <v>1</v>
      </c>
      <c r="AB24" s="1263">
        <v>1</v>
      </c>
      <c r="AC24" s="1263">
        <v>1</v>
      </c>
    </row>
    <row r="25" spans="1:29" ht="15">
      <c r="A25" s="367"/>
      <c r="B25" s="364" t="s">
        <v>1774</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72"/>
      <c r="Q25" s="1262" t="str">
        <f t="shared" ref="Q25:Q46" si="11">B25</f>
        <v>临街状况</v>
      </c>
      <c r="R25" s="667" t="s">
        <v>14</v>
      </c>
      <c r="S25" s="668">
        <f>F25</f>
        <v>100</v>
      </c>
      <c r="T25" s="667" t="s">
        <v>14</v>
      </c>
      <c r="U25" s="668">
        <f>H25</f>
        <v>100</v>
      </c>
      <c r="V25" s="667" t="s">
        <v>14</v>
      </c>
      <c r="W25" s="668">
        <f>J25</f>
        <v>100</v>
      </c>
      <c r="X25" s="1264"/>
      <c r="Y25" s="3465"/>
      <c r="Z25" s="1263" t="str">
        <f>Q25</f>
        <v>临街状况</v>
      </c>
      <c r="AA25" s="1263">
        <f t="shared" si="3"/>
        <v>1</v>
      </c>
      <c r="AB25" s="1263">
        <f t="shared" si="4"/>
        <v>1</v>
      </c>
      <c r="AC25" s="1263">
        <f t="shared" si="5"/>
        <v>1</v>
      </c>
    </row>
    <row r="26" spans="1:29" ht="15">
      <c r="A26" s="367"/>
      <c r="B26" s="1066" t="s">
        <v>1775</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72"/>
      <c r="Q26" s="1262" t="str">
        <f t="shared" si="11"/>
        <v>平面位置/可视性</v>
      </c>
      <c r="R26" s="667" t="s">
        <v>14</v>
      </c>
      <c r="S26" s="668">
        <f>F26</f>
        <v>100</v>
      </c>
      <c r="T26" s="667" t="s">
        <v>14</v>
      </c>
      <c r="U26" s="668">
        <f>H26</f>
        <v>100</v>
      </c>
      <c r="V26" s="667" t="s">
        <v>14</v>
      </c>
      <c r="W26" s="668">
        <f>J26</f>
        <v>100</v>
      </c>
      <c r="X26" s="1264"/>
      <c r="Y26" s="3465"/>
      <c r="Z26" s="1263" t="str">
        <f>Q26</f>
        <v>平面位置/可视性</v>
      </c>
      <c r="AA26" s="1263">
        <f t="shared" si="3"/>
        <v>1</v>
      </c>
      <c r="AB26" s="1263">
        <f t="shared" si="4"/>
        <v>1</v>
      </c>
      <c r="AC26" s="1263">
        <f t="shared" si="5"/>
        <v>1</v>
      </c>
    </row>
    <row r="27" spans="1:29" s="102" customFormat="1" ht="15">
      <c r="A27" s="370"/>
      <c r="B27" s="390" t="s">
        <v>1776</v>
      </c>
      <c r="C27" s="1803"/>
      <c r="D27" s="401">
        <v>100</v>
      </c>
      <c r="E27" s="1803"/>
      <c r="F27" s="395">
        <f>SUMIF(90:90,E27,91:91)-SUMIF(90:90,C27,91:91)+100</f>
        <v>100</v>
      </c>
      <c r="G27" s="1803"/>
      <c r="H27" s="401">
        <f>SUMIF(90:90,G27,91:91)-SUMIF(90:90,C27,91:91)+100</f>
        <v>100</v>
      </c>
      <c r="I27" s="1803"/>
      <c r="J27" s="401">
        <f>SUMIF(90:90,I27,91:91)-SUMIF(90:90,C27,91:91)+100</f>
        <v>100</v>
      </c>
      <c r="K27" s="538"/>
      <c r="L27" s="2483"/>
      <c r="M27" s="2435"/>
      <c r="N27" s="2435"/>
      <c r="O27" s="2435"/>
      <c r="P27" s="3472"/>
      <c r="Q27" s="530" t="str">
        <f t="shared" si="11"/>
        <v>人流量</v>
      </c>
      <c r="R27" s="664" t="s">
        <v>14</v>
      </c>
      <c r="S27" s="665">
        <f>F27</f>
        <v>100</v>
      </c>
      <c r="T27" s="664" t="s">
        <v>14</v>
      </c>
      <c r="U27" s="665">
        <f>H27</f>
        <v>100</v>
      </c>
      <c r="V27" s="664" t="s">
        <v>14</v>
      </c>
      <c r="W27" s="665">
        <f>J27</f>
        <v>100</v>
      </c>
      <c r="X27" s="666"/>
      <c r="Y27" s="3465"/>
      <c r="Z27" s="50" t="str">
        <f>Q27</f>
        <v>人流量</v>
      </c>
      <c r="AA27" s="1263">
        <f>D27/F27</f>
        <v>1</v>
      </c>
      <c r="AB27" s="1263">
        <f>D27/H27</f>
        <v>1</v>
      </c>
      <c r="AC27" s="1263">
        <f>D27/J27</f>
        <v>1</v>
      </c>
    </row>
    <row r="28" spans="1:29" ht="15">
      <c r="A28" s="367"/>
      <c r="B28" s="364" t="s">
        <v>1777</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7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6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72"/>
      <c r="Q29" s="1262">
        <f t="shared" si="11"/>
        <v>111</v>
      </c>
      <c r="R29" s="667" t="s">
        <v>14</v>
      </c>
      <c r="S29" s="668">
        <f t="shared" si="12"/>
        <v>100</v>
      </c>
      <c r="T29" s="667" t="s">
        <v>14</v>
      </c>
      <c r="U29" s="668">
        <f t="shared" si="13"/>
        <v>100</v>
      </c>
      <c r="V29" s="667" t="s">
        <v>14</v>
      </c>
      <c r="W29" s="668">
        <f t="shared" si="14"/>
        <v>100</v>
      </c>
      <c r="X29" s="1264"/>
      <c r="Y29" s="346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72"/>
      <c r="Q30" s="1262">
        <f t="shared" si="11"/>
        <v>111</v>
      </c>
      <c r="R30" s="667" t="s">
        <v>14</v>
      </c>
      <c r="S30" s="668">
        <f t="shared" si="12"/>
        <v>100</v>
      </c>
      <c r="T30" s="667" t="s">
        <v>14</v>
      </c>
      <c r="U30" s="668">
        <f t="shared" si="13"/>
        <v>100</v>
      </c>
      <c r="V30" s="667" t="s">
        <v>14</v>
      </c>
      <c r="W30" s="668">
        <f t="shared" si="14"/>
        <v>100</v>
      </c>
      <c r="X30" s="1264"/>
      <c r="Y30" s="3465"/>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72"/>
      <c r="Q31" s="1262">
        <f t="shared" si="11"/>
        <v>111</v>
      </c>
      <c r="R31" s="667" t="s">
        <v>14</v>
      </c>
      <c r="S31" s="668">
        <f t="shared" si="12"/>
        <v>100</v>
      </c>
      <c r="T31" s="667" t="s">
        <v>14</v>
      </c>
      <c r="U31" s="668">
        <f t="shared" si="13"/>
        <v>100</v>
      </c>
      <c r="V31" s="667" t="s">
        <v>14</v>
      </c>
      <c r="W31" s="668">
        <f t="shared" si="14"/>
        <v>100</v>
      </c>
      <c r="X31" s="1264"/>
      <c r="Y31" s="3465"/>
      <c r="Z31" s="1263">
        <f t="shared" si="15"/>
        <v>111</v>
      </c>
      <c r="AA31" s="1263">
        <f t="shared" si="3"/>
        <v>1</v>
      </c>
      <c r="AB31" s="1263">
        <f t="shared" si="4"/>
        <v>1</v>
      </c>
      <c r="AC31" s="1263">
        <f t="shared" si="5"/>
        <v>1</v>
      </c>
    </row>
    <row r="32" spans="1:29" ht="15">
      <c r="A32" s="379" t="s">
        <v>1688</v>
      </c>
      <c r="B32" s="60" t="s">
        <v>1778</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7"/>
      <c r="M32" s="2482"/>
      <c r="N32" s="2482"/>
      <c r="O32" s="2482"/>
      <c r="P32" s="3466" t="s">
        <v>1690</v>
      </c>
      <c r="Q32" s="1262" t="str">
        <f t="shared" si="11"/>
        <v>商业类型</v>
      </c>
      <c r="R32" s="667" t="s">
        <v>14</v>
      </c>
      <c r="S32" s="668">
        <f t="shared" si="12"/>
        <v>100</v>
      </c>
      <c r="T32" s="667" t="s">
        <v>14</v>
      </c>
      <c r="U32" s="668">
        <f t="shared" si="13"/>
        <v>100</v>
      </c>
      <c r="V32" s="667" t="s">
        <v>14</v>
      </c>
      <c r="W32" s="668">
        <f t="shared" si="14"/>
        <v>100</v>
      </c>
      <c r="X32" s="1264"/>
      <c r="Y32" s="3469" t="s">
        <v>1690</v>
      </c>
      <c r="Z32" s="1263" t="str">
        <f t="shared" si="15"/>
        <v>商业类型</v>
      </c>
      <c r="AA32" s="1263">
        <f t="shared" si="3"/>
        <v>1</v>
      </c>
      <c r="AB32" s="1263">
        <f t="shared" si="4"/>
        <v>1</v>
      </c>
      <c r="AC32" s="1263">
        <f t="shared" si="5"/>
        <v>1</v>
      </c>
    </row>
    <row r="33" spans="1:29" s="408" customFormat="1" ht="15">
      <c r="A33" s="406"/>
      <c r="B33" s="364" t="s">
        <v>1691</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67"/>
      <c r="Q33" s="531" t="str">
        <f t="shared" si="11"/>
        <v>项目建筑规模</v>
      </c>
      <c r="R33" s="669" t="s">
        <v>14</v>
      </c>
      <c r="S33" s="670" t="e">
        <f t="shared" si="12"/>
        <v>#N/A</v>
      </c>
      <c r="T33" s="669" t="s">
        <v>14</v>
      </c>
      <c r="U33" s="670" t="e">
        <f t="shared" si="13"/>
        <v>#N/A</v>
      </c>
      <c r="V33" s="669" t="s">
        <v>14</v>
      </c>
      <c r="W33" s="670" t="e">
        <f t="shared" si="14"/>
        <v>#N/A</v>
      </c>
      <c r="X33" s="671"/>
      <c r="Y33" s="3469"/>
      <c r="Z33" s="672" t="str">
        <f t="shared" si="15"/>
        <v>项目建筑规模</v>
      </c>
      <c r="AA33" s="1263" t="e">
        <f t="shared" si="3"/>
        <v>#N/A</v>
      </c>
      <c r="AB33" s="1263" t="e">
        <f t="shared" si="4"/>
        <v>#N/A</v>
      </c>
      <c r="AC33" s="1263" t="e">
        <f t="shared" si="5"/>
        <v>#N/A</v>
      </c>
    </row>
    <row r="34" spans="1:29" ht="15">
      <c r="A34" s="409"/>
      <c r="B34" s="364" t="s">
        <v>1692</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67"/>
      <c r="Q34" s="1262" t="str">
        <f t="shared" si="11"/>
        <v>建筑结构</v>
      </c>
      <c r="R34" s="667" t="s">
        <v>14</v>
      </c>
      <c r="S34" s="668">
        <f t="shared" si="12"/>
        <v>100</v>
      </c>
      <c r="T34" s="667" t="s">
        <v>14</v>
      </c>
      <c r="U34" s="668">
        <f t="shared" si="13"/>
        <v>100</v>
      </c>
      <c r="V34" s="667" t="s">
        <v>14</v>
      </c>
      <c r="W34" s="668">
        <f t="shared" si="14"/>
        <v>100</v>
      </c>
      <c r="X34" s="1264"/>
      <c r="Y34" s="3469"/>
      <c r="Z34" s="1263" t="str">
        <f t="shared" si="15"/>
        <v>建筑结构</v>
      </c>
      <c r="AA34" s="1263">
        <f t="shared" si="3"/>
        <v>1</v>
      </c>
      <c r="AB34" s="1263">
        <f t="shared" si="4"/>
        <v>1</v>
      </c>
      <c r="AC34" s="1263">
        <f t="shared" si="5"/>
        <v>1</v>
      </c>
    </row>
    <row r="35" spans="1:29" ht="15">
      <c r="A35" s="409"/>
      <c r="B35" s="364" t="s">
        <v>1779</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7"/>
      <c r="M35" s="2482"/>
      <c r="N35" s="2482"/>
      <c r="O35" s="2482"/>
      <c r="P35" s="3467"/>
      <c r="Q35" s="1262" t="str">
        <f t="shared" si="11"/>
        <v>公共部分装修</v>
      </c>
      <c r="R35" s="667" t="s">
        <v>14</v>
      </c>
      <c r="S35" s="668">
        <f t="shared" si="12"/>
        <v>100</v>
      </c>
      <c r="T35" s="667" t="s">
        <v>14</v>
      </c>
      <c r="U35" s="668">
        <f t="shared" si="13"/>
        <v>100</v>
      </c>
      <c r="V35" s="667" t="s">
        <v>14</v>
      </c>
      <c r="W35" s="668">
        <f t="shared" si="14"/>
        <v>100</v>
      </c>
      <c r="X35" s="1264"/>
      <c r="Y35" s="3469"/>
      <c r="Z35" s="1263" t="str">
        <f t="shared" si="15"/>
        <v>公共部分装修</v>
      </c>
      <c r="AA35" s="1263">
        <f t="shared" si="3"/>
        <v>1</v>
      </c>
      <c r="AB35" s="1263">
        <f t="shared" si="4"/>
        <v>1</v>
      </c>
      <c r="AC35" s="1263">
        <f t="shared" si="5"/>
        <v>1</v>
      </c>
    </row>
    <row r="36" spans="1:29" ht="15">
      <c r="A36" s="409"/>
      <c r="B36" s="364" t="s">
        <v>1780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67"/>
      <c r="Q36" s="1262" t="str">
        <f t="shared" si="11"/>
        <v>成新度</v>
      </c>
      <c r="R36" s="667" t="s">
        <v>14</v>
      </c>
      <c r="S36" s="668" t="e">
        <f t="shared" si="12"/>
        <v>#N/A</v>
      </c>
      <c r="T36" s="667" t="s">
        <v>14</v>
      </c>
      <c r="U36" s="668" t="e">
        <f t="shared" si="13"/>
        <v>#N/A</v>
      </c>
      <c r="V36" s="667" t="s">
        <v>14</v>
      </c>
      <c r="W36" s="668" t="e">
        <f t="shared" si="14"/>
        <v>#N/A</v>
      </c>
      <c r="X36" s="1264"/>
      <c r="Y36" s="3469"/>
      <c r="Z36" s="1263" t="str">
        <f t="shared" si="15"/>
        <v>成新度</v>
      </c>
      <c r="AA36" s="1263" t="e">
        <f t="shared" si="3"/>
        <v>#N/A</v>
      </c>
      <c r="AB36" s="1263" t="e">
        <f t="shared" si="4"/>
        <v>#N/A</v>
      </c>
      <c r="AC36" s="1263" t="e">
        <f t="shared" si="5"/>
        <v>#N/A</v>
      </c>
    </row>
    <row r="37" spans="1:29" s="102" customFormat="1" ht="15">
      <c r="A37" s="410"/>
      <c r="B37" s="364" t="s">
        <v>1781</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3"/>
      <c r="M37" s="2435"/>
      <c r="N37" s="2435"/>
      <c r="O37" s="2435"/>
      <c r="P37" s="3467"/>
      <c r="Q37" s="530" t="str">
        <f t="shared" si="11"/>
        <v>市政基础设施</v>
      </c>
      <c r="R37" s="664" t="s">
        <v>14</v>
      </c>
      <c r="S37" s="665">
        <f t="shared" si="12"/>
        <v>100</v>
      </c>
      <c r="T37" s="664" t="s">
        <v>14</v>
      </c>
      <c r="U37" s="665">
        <f t="shared" si="13"/>
        <v>100</v>
      </c>
      <c r="V37" s="664" t="s">
        <v>14</v>
      </c>
      <c r="W37" s="665">
        <f t="shared" si="14"/>
        <v>100</v>
      </c>
      <c r="X37" s="666"/>
      <c r="Y37" s="3469"/>
      <c r="Z37" s="50" t="str">
        <f t="shared" si="15"/>
        <v>市政基础设施</v>
      </c>
      <c r="AA37" s="50">
        <f t="shared" si="3"/>
        <v>1</v>
      </c>
      <c r="AB37" s="50">
        <f t="shared" si="4"/>
        <v>1</v>
      </c>
      <c r="AC37" s="50">
        <f t="shared" si="5"/>
        <v>1</v>
      </c>
    </row>
    <row r="38" spans="1:29" ht="15">
      <c r="A38" s="409"/>
      <c r="B38" s="364" t="s">
        <v>1782</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7"/>
      <c r="M38" s="2482"/>
      <c r="N38" s="2482"/>
      <c r="O38" s="2482"/>
      <c r="P38" s="3467" t="s">
        <v>1690</v>
      </c>
      <c r="Q38" s="1262" t="str">
        <f t="shared" si="11"/>
        <v>业态</v>
      </c>
      <c r="R38" s="667" t="s">
        <v>14</v>
      </c>
      <c r="S38" s="668">
        <f t="shared" si="12"/>
        <v>100</v>
      </c>
      <c r="T38" s="667" t="s">
        <v>14</v>
      </c>
      <c r="U38" s="668">
        <f t="shared" si="13"/>
        <v>100</v>
      </c>
      <c r="V38" s="667" t="s">
        <v>14</v>
      </c>
      <c r="W38" s="668">
        <f t="shared" si="14"/>
        <v>100</v>
      </c>
      <c r="X38" s="1264"/>
      <c r="Y38" s="3469" t="s">
        <v>1690</v>
      </c>
      <c r="Z38" s="1263" t="str">
        <f t="shared" si="15"/>
        <v>业态</v>
      </c>
      <c r="AA38" s="1263">
        <f t="shared" si="3"/>
        <v>1</v>
      </c>
      <c r="AB38" s="1263">
        <f t="shared" si="4"/>
        <v>1</v>
      </c>
      <c r="AC38" s="1263">
        <f t="shared" si="5"/>
        <v>1</v>
      </c>
    </row>
    <row r="39" spans="1:29" ht="15">
      <c r="A39" s="409"/>
      <c r="B39" s="364" t="s">
        <v>1783</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7"/>
      <c r="M39" s="2482"/>
      <c r="N39" s="2482"/>
      <c r="O39" s="2482"/>
      <c r="P39" s="3467"/>
      <c r="Q39" s="1262" t="str">
        <f t="shared" si="11"/>
        <v>层高</v>
      </c>
      <c r="R39" s="667" t="s">
        <v>14</v>
      </c>
      <c r="S39" s="668">
        <f t="shared" si="12"/>
        <v>100</v>
      </c>
      <c r="T39" s="667" t="s">
        <v>14</v>
      </c>
      <c r="U39" s="668">
        <f t="shared" si="13"/>
        <v>100</v>
      </c>
      <c r="V39" s="667" t="s">
        <v>14</v>
      </c>
      <c r="W39" s="668">
        <f t="shared" si="14"/>
        <v>100</v>
      </c>
      <c r="X39" s="1264"/>
      <c r="Y39" s="3469"/>
      <c r="Z39" s="1263" t="str">
        <f t="shared" si="15"/>
        <v>层高</v>
      </c>
      <c r="AA39" s="1263">
        <f t="shared" si="3"/>
        <v>1</v>
      </c>
      <c r="AB39" s="1263">
        <f t="shared" si="4"/>
        <v>1</v>
      </c>
      <c r="AC39" s="1263">
        <f t="shared" si="5"/>
        <v>1</v>
      </c>
    </row>
    <row r="40" spans="1:29" ht="15">
      <c r="A40" s="409"/>
      <c r="B40" s="364" t="s">
        <v>1784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67"/>
      <c r="Q40" s="1262" t="str">
        <f t="shared" si="11"/>
        <v>单套建筑面积</v>
      </c>
      <c r="R40" s="667" t="s">
        <v>14</v>
      </c>
      <c r="S40" s="668">
        <f t="shared" si="12"/>
        <v>100</v>
      </c>
      <c r="T40" s="667" t="s">
        <v>14</v>
      </c>
      <c r="U40" s="668">
        <f t="shared" si="13"/>
        <v>100</v>
      </c>
      <c r="V40" s="667" t="s">
        <v>14</v>
      </c>
      <c r="W40" s="668">
        <f t="shared" si="14"/>
        <v>100</v>
      </c>
      <c r="X40" s="1264"/>
      <c r="Y40" s="3469"/>
      <c r="Z40" s="1263" t="str">
        <f t="shared" si="15"/>
        <v>单套建筑面积</v>
      </c>
      <c r="AA40" s="1263">
        <f t="shared" si="3"/>
        <v>1</v>
      </c>
      <c r="AB40" s="1263">
        <f t="shared" si="4"/>
        <v>1</v>
      </c>
      <c r="AC40" s="1263">
        <f t="shared" si="5"/>
        <v>1</v>
      </c>
    </row>
    <row r="41" spans="1:29" s="408" customFormat="1" ht="15">
      <c r="A41" s="406"/>
      <c r="B41" s="400" t="s">
        <v>1785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67"/>
      <c r="Q41" s="531" t="str">
        <f t="shared" si="11"/>
        <v>进深比</v>
      </c>
      <c r="R41" s="669" t="s">
        <v>14</v>
      </c>
      <c r="S41" s="670">
        <f t="shared" si="12"/>
        <v>100</v>
      </c>
      <c r="T41" s="669" t="s">
        <v>14</v>
      </c>
      <c r="U41" s="670">
        <f t="shared" si="13"/>
        <v>100</v>
      </c>
      <c r="V41" s="669" t="s">
        <v>14</v>
      </c>
      <c r="W41" s="670">
        <f t="shared" si="14"/>
        <v>100</v>
      </c>
      <c r="X41" s="671"/>
      <c r="Y41" s="3469"/>
      <c r="Z41" s="672" t="str">
        <f t="shared" si="15"/>
        <v>进深比</v>
      </c>
      <c r="AA41" s="1263">
        <f t="shared" si="3"/>
        <v>1</v>
      </c>
      <c r="AB41" s="1263">
        <f t="shared" si="4"/>
        <v>1</v>
      </c>
      <c r="AC41" s="1263">
        <f t="shared" si="5"/>
        <v>1</v>
      </c>
    </row>
    <row r="42" spans="1:29" ht="15">
      <c r="A42" s="409"/>
      <c r="B42" s="364" t="s">
        <v>1786</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7"/>
      <c r="M42" s="2482"/>
      <c r="N42" s="2482"/>
      <c r="O42" s="2482"/>
      <c r="P42" s="3467"/>
      <c r="Q42" s="1262" t="str">
        <f t="shared" si="11"/>
        <v>内部装修</v>
      </c>
      <c r="R42" s="667" t="s">
        <v>14</v>
      </c>
      <c r="S42" s="668">
        <f t="shared" si="12"/>
        <v>100</v>
      </c>
      <c r="T42" s="667" t="s">
        <v>14</v>
      </c>
      <c r="U42" s="668">
        <f t="shared" si="13"/>
        <v>100</v>
      </c>
      <c r="V42" s="667" t="s">
        <v>14</v>
      </c>
      <c r="W42" s="668">
        <f t="shared" si="14"/>
        <v>100</v>
      </c>
      <c r="X42" s="1264"/>
      <c r="Y42" s="3469"/>
      <c r="Z42" s="1263" t="str">
        <f t="shared" si="15"/>
        <v>内部装修</v>
      </c>
      <c r="AA42" s="1263">
        <f t="shared" si="3"/>
        <v>1</v>
      </c>
      <c r="AB42" s="1263">
        <f t="shared" si="4"/>
        <v>1</v>
      </c>
      <c r="AC42" s="1263">
        <f t="shared" si="5"/>
        <v>1</v>
      </c>
    </row>
    <row r="43" spans="1:29" ht="15">
      <c r="A43" s="409"/>
      <c r="B43" s="364" t="s">
        <v>1701</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7"/>
      <c r="M43" s="2482"/>
      <c r="N43" s="2482"/>
      <c r="O43" s="2482"/>
      <c r="P43" s="3467"/>
      <c r="Q43" s="1262" t="str">
        <f t="shared" si="11"/>
        <v>内部装修维护情况</v>
      </c>
      <c r="R43" s="667" t="s">
        <v>14</v>
      </c>
      <c r="S43" s="668">
        <f t="shared" si="12"/>
        <v>100</v>
      </c>
      <c r="T43" s="667" t="s">
        <v>14</v>
      </c>
      <c r="U43" s="668">
        <f t="shared" si="13"/>
        <v>100</v>
      </c>
      <c r="V43" s="667" t="s">
        <v>14</v>
      </c>
      <c r="W43" s="668">
        <f t="shared" si="14"/>
        <v>100</v>
      </c>
      <c r="X43" s="1264"/>
      <c r="Y43" s="3469"/>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467"/>
      <c r="Q44" s="530">
        <f t="shared" si="11"/>
        <v>111</v>
      </c>
      <c r="R44" s="664" t="s">
        <v>14</v>
      </c>
      <c r="S44" s="665">
        <f t="shared" si="12"/>
        <v>100</v>
      </c>
      <c r="T44" s="664" t="s">
        <v>14</v>
      </c>
      <c r="U44" s="665">
        <f t="shared" si="13"/>
        <v>100</v>
      </c>
      <c r="V44" s="664" t="s">
        <v>14</v>
      </c>
      <c r="W44" s="665">
        <f t="shared" si="14"/>
        <v>100</v>
      </c>
      <c r="X44" s="666"/>
      <c r="Y44" s="346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67"/>
      <c r="Q45" s="1262">
        <f t="shared" si="11"/>
        <v>111</v>
      </c>
      <c r="R45" s="667" t="s">
        <v>14</v>
      </c>
      <c r="S45" s="668">
        <f t="shared" si="12"/>
        <v>100</v>
      </c>
      <c r="T45" s="667" t="s">
        <v>14</v>
      </c>
      <c r="U45" s="668">
        <f t="shared" si="13"/>
        <v>100</v>
      </c>
      <c r="V45" s="667" t="s">
        <v>14</v>
      </c>
      <c r="W45" s="668">
        <f t="shared" si="14"/>
        <v>100</v>
      </c>
      <c r="X45" s="1264"/>
      <c r="Y45" s="3469"/>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68"/>
      <c r="Q46" s="1262">
        <f t="shared" si="11"/>
        <v>111</v>
      </c>
      <c r="R46" s="667" t="s">
        <v>14</v>
      </c>
      <c r="S46" s="668">
        <f t="shared" si="12"/>
        <v>100</v>
      </c>
      <c r="T46" s="667" t="s">
        <v>14</v>
      </c>
      <c r="U46" s="668">
        <f t="shared" si="13"/>
        <v>100</v>
      </c>
      <c r="V46" s="667" t="s">
        <v>14</v>
      </c>
      <c r="W46" s="668">
        <f t="shared" si="14"/>
        <v>100</v>
      </c>
      <c r="X46" s="1264"/>
      <c r="Y46" s="3470"/>
      <c r="Z46" s="1263">
        <f t="shared" si="15"/>
        <v>111</v>
      </c>
      <c r="AA46" s="1263">
        <f t="shared" si="3"/>
        <v>1</v>
      </c>
      <c r="AB46" s="1263">
        <f t="shared" si="4"/>
        <v>1</v>
      </c>
      <c r="AC46" s="1263">
        <f t="shared" si="5"/>
        <v>1</v>
      </c>
    </row>
    <row r="47" spans="1:29" ht="15">
      <c r="A47" s="416" t="s">
        <v>1702</v>
      </c>
      <c r="B47" s="417"/>
      <c r="C47" s="1081" t="s">
        <v>0</v>
      </c>
      <c r="D47" s="418"/>
      <c r="E47" s="419"/>
      <c r="F47" s="420"/>
      <c r="G47" s="421"/>
      <c r="H47" s="422"/>
      <c r="I47" s="419"/>
      <c r="J47" s="422"/>
      <c r="K47" s="674"/>
      <c r="L47" s="2489"/>
      <c r="M47" s="2482"/>
      <c r="N47" s="2482"/>
      <c r="O47" s="2482"/>
      <c r="P47" s="3462" t="str">
        <f>A47</f>
        <v>成交单价（元/平方米）</v>
      </c>
      <c r="Q47" s="3462"/>
      <c r="R47" s="3463">
        <f>E47</f>
        <v>0</v>
      </c>
      <c r="S47" s="3463"/>
      <c r="T47" s="3463">
        <f>G47</f>
        <v>0</v>
      </c>
      <c r="U47" s="3463"/>
      <c r="V47" s="3463">
        <f>I47</f>
        <v>0</v>
      </c>
      <c r="W47" s="3463"/>
      <c r="X47" s="385"/>
      <c r="Y47" s="673"/>
      <c r="Z47" s="385"/>
      <c r="AA47" s="385"/>
      <c r="AB47" s="385"/>
      <c r="AC47" s="385"/>
    </row>
    <row r="48" spans="1:29" ht="15.75" thickBot="1">
      <c r="A48" s="423" t="s">
        <v>1787</v>
      </c>
      <c r="B48" s="424"/>
      <c r="C48" s="1082" t="e">
        <f>R49</f>
        <v>#DIV/0!</v>
      </c>
      <c r="D48" s="2137" t="s">
        <v>2132</v>
      </c>
      <c r="E48" s="1083" t="e">
        <f>R48</f>
        <v>#DIV/0!</v>
      </c>
      <c r="F48" s="2138"/>
      <c r="G48" s="1082" t="e">
        <f>T48</f>
        <v>#DIV/0!</v>
      </c>
      <c r="H48" s="2138"/>
      <c r="I48" s="1083" t="e">
        <f>V48</f>
        <v>#DIV/0!</v>
      </c>
      <c r="J48" s="2138"/>
      <c r="K48" s="2140">
        <f>F48+H48+J48</f>
        <v>0</v>
      </c>
      <c r="L48" s="2489"/>
      <c r="M48" s="2482"/>
      <c r="N48" s="2482"/>
      <c r="O48" s="2482"/>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385"/>
      <c r="Y48" s="385"/>
      <c r="Z48" s="385"/>
      <c r="AA48" s="385"/>
      <c r="AB48" s="385"/>
      <c r="AC48" s="385"/>
    </row>
    <row r="49" spans="1:29" ht="15.75" thickBot="1">
      <c r="A49" s="427" t="s">
        <v>1788</v>
      </c>
      <c r="B49" s="428"/>
      <c r="C49" s="351" t="e">
        <f>R49</f>
        <v>#DIV/0!</v>
      </c>
      <c r="D49" s="351"/>
      <c r="E49" s="351"/>
      <c r="F49" s="351"/>
      <c r="G49" s="351"/>
      <c r="H49" s="351"/>
      <c r="I49" s="351"/>
      <c r="J49" s="351"/>
      <c r="K49" s="675"/>
      <c r="L49" s="2489"/>
      <c r="M49" s="2482"/>
      <c r="N49" s="2482"/>
      <c r="O49" s="2482"/>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1789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8" t="s">
        <v>1792</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5">
      <c r="A58" s="440" t="s">
        <v>1673</v>
      </c>
      <c r="B58" s="441"/>
      <c r="C58" s="1102" t="str">
        <f>YEAR(C7)&amp;"-"&amp;MONTH(C7)</f>
        <v>2023-12</v>
      </c>
      <c r="D58" s="1103">
        <f>EDATE(C58,-1)</f>
        <v>45231</v>
      </c>
      <c r="E58" s="1103">
        <f t="shared" ref="E58:N58" si="16">EDATE(D58,-1)</f>
        <v>45200</v>
      </c>
      <c r="F58" s="1103">
        <f t="shared" si="16"/>
        <v>45170</v>
      </c>
      <c r="G58" s="1103">
        <f t="shared" si="16"/>
        <v>45139</v>
      </c>
      <c r="H58" s="1103">
        <f t="shared" si="16"/>
        <v>45108</v>
      </c>
      <c r="I58" s="1103">
        <f t="shared" si="16"/>
        <v>45078</v>
      </c>
      <c r="J58" s="1103">
        <f t="shared" si="16"/>
        <v>45047</v>
      </c>
      <c r="K58" s="1103">
        <f t="shared" si="16"/>
        <v>45017</v>
      </c>
      <c r="L58" s="1103">
        <f t="shared" si="16"/>
        <v>44986</v>
      </c>
      <c r="M58" s="1103">
        <f t="shared" si="16"/>
        <v>44958</v>
      </c>
      <c r="N58" s="1103">
        <f t="shared" si="16"/>
        <v>44927</v>
      </c>
      <c r="O58" s="1103">
        <f>EDATE(N58,-1)</f>
        <v>44896</v>
      </c>
      <c r="P58" s="2504"/>
      <c r="Q58" s="2505"/>
      <c r="R58" s="2505"/>
      <c r="S58" s="2505"/>
      <c r="T58" s="2505"/>
      <c r="U58" s="2505"/>
      <c r="V58" s="2505"/>
      <c r="W58" s="2505"/>
      <c r="X58" s="2505"/>
      <c r="Y58" s="2505"/>
      <c r="Z58" s="2505"/>
      <c r="AA58" s="2505"/>
      <c r="AB58" s="2505"/>
      <c r="AC58" s="2505"/>
    </row>
    <row r="59" spans="1:29" s="102" customFormat="1" ht="15">
      <c r="A59" s="443"/>
      <c r="B59" s="444"/>
      <c r="C59" s="1101">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75" thickBot="1">
      <c r="A60" s="449" t="s">
        <v>1710</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5">
      <c r="A61" s="455" t="s">
        <v>1675</v>
      </c>
      <c r="B61" s="444"/>
      <c r="C61" s="456" t="s">
        <v>1770</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1713</v>
      </c>
      <c r="B63" s="460" t="s">
        <v>1679</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1682</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1683</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1684</v>
      </c>
      <c r="B76" s="460" t="s">
        <v>1714</v>
      </c>
      <c r="C76" s="504" t="s">
        <v>1715</v>
      </c>
      <c r="D76" s="504" t="s">
        <v>1716</v>
      </c>
      <c r="E76" s="504" t="s">
        <v>1717</v>
      </c>
      <c r="F76" s="504" t="s">
        <v>1718</v>
      </c>
      <c r="G76" s="504" t="s">
        <v>1719</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1720</v>
      </c>
      <c r="C78" s="509" t="s">
        <v>1715</v>
      </c>
      <c r="D78" s="509" t="s">
        <v>1716</v>
      </c>
      <c r="E78" s="509" t="s">
        <v>1717</v>
      </c>
      <c r="F78" s="509" t="s">
        <v>1718</v>
      </c>
      <c r="G78" s="509" t="s">
        <v>1719</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1721</v>
      </c>
      <c r="C80" s="509" t="s">
        <v>1715</v>
      </c>
      <c r="D80" s="509" t="s">
        <v>1716</v>
      </c>
      <c r="E80" s="509" t="s">
        <v>1717</v>
      </c>
      <c r="F80" s="509" t="s">
        <v>1718</v>
      </c>
      <c r="G80" s="509" t="s">
        <v>1719</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1773</v>
      </c>
      <c r="C82" s="581" t="s">
        <v>1793</v>
      </c>
      <c r="D82" s="581" t="s">
        <v>1794</v>
      </c>
      <c r="E82" s="581" t="s">
        <v>1795</v>
      </c>
      <c r="F82" s="581" t="s">
        <v>1796</v>
      </c>
      <c r="G82" s="581" t="s">
        <v>1797</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1727</v>
      </c>
      <c r="C84" s="509" t="s">
        <v>1715</v>
      </c>
      <c r="D84" s="509" t="s">
        <v>1716</v>
      </c>
      <c r="E84" s="509" t="s">
        <v>1717</v>
      </c>
      <c r="F84" s="509" t="s">
        <v>1718</v>
      </c>
      <c r="G84" s="509" t="s">
        <v>1719</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1798</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1688</v>
      </c>
      <c r="B100" s="460" t="s">
        <v>1799</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7"/>
      <c r="B102" s="469" t="s">
        <v>1731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1732</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1734</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1736</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1800</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1801</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1802</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1803</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1738</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1739</v>
      </c>
      <c r="C124" s="509" t="s">
        <v>1715</v>
      </c>
      <c r="D124" s="509" t="s">
        <v>1716</v>
      </c>
      <c r="E124" s="509" t="s">
        <v>1717</v>
      </c>
      <c r="F124" s="509" t="s">
        <v>1718</v>
      </c>
      <c r="G124" s="509" t="s">
        <v>1719</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cfRule type="containsText" dxfId="110" priority="17" stopIfTrue="1" operator="containsText" text="超过">
      <formula>NOT(ISERROR(SEARCH("超过",F52)))</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G54">
    <cfRule type="expression" dxfId="107" priority="13"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conditionalFormatting sqref="J52:J54">
    <cfRule type="containsText" dxfId="10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804" t="s">
        <v>1804</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1457</v>
      </c>
      <c r="F2" s="1738"/>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f>IF(C2="——",C50,ROUND(B2*10000/D3,0))</f>
        <v>0</v>
      </c>
      <c r="C3" s="344" t="s">
        <v>1762</v>
      </c>
      <c r="D3" s="343">
        <f>IF(D1="",'数据-汇总表'!E3,SUMIF('数据-汇总表'!$C19:$C33,D1,'数据-汇总表'!$E19:$E33))</f>
        <v>86196.960000000021</v>
      </c>
      <c r="E3" s="1801"/>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5">
      <c r="A4" s="345" t="s">
        <v>1763</v>
      </c>
      <c r="B4" s="346"/>
      <c r="C4" s="3477" t="s">
        <v>1764</v>
      </c>
      <c r="D4" s="3478"/>
      <c r="E4" s="3479" t="s">
        <v>1765</v>
      </c>
      <c r="F4" s="3480"/>
      <c r="G4" s="3477" t="s">
        <v>1766</v>
      </c>
      <c r="H4" s="3478"/>
      <c r="I4" s="3477" t="s">
        <v>1767</v>
      </c>
      <c r="J4" s="3478"/>
      <c r="K4" s="537" t="s">
        <v>1768</v>
      </c>
      <c r="L4" s="2481"/>
      <c r="M4" s="2482"/>
      <c r="N4" s="2482"/>
      <c r="O4" s="2482"/>
      <c r="P4" s="3545" t="s">
        <v>1769</v>
      </c>
      <c r="Q4" s="3546"/>
      <c r="R4" s="3549" t="s">
        <v>1765</v>
      </c>
      <c r="S4" s="3550"/>
      <c r="T4" s="3549" t="s">
        <v>1766</v>
      </c>
      <c r="U4" s="3550"/>
      <c r="V4" s="3551" t="s">
        <v>1767</v>
      </c>
      <c r="W4" s="3551"/>
      <c r="X4" s="1805"/>
      <c r="Y4" s="3549" t="s">
        <v>1769</v>
      </c>
      <c r="Z4" s="3550"/>
      <c r="AA4" s="3553" t="s">
        <v>1765</v>
      </c>
      <c r="AB4" s="3553" t="s">
        <v>1766</v>
      </c>
      <c r="AC4" s="3542" t="s">
        <v>1767</v>
      </c>
    </row>
    <row r="5" spans="1:29" ht="15">
      <c r="A5" s="348"/>
      <c r="B5" s="349"/>
      <c r="C5" s="3511" t="s">
        <v>1667</v>
      </c>
      <c r="D5" s="3496"/>
      <c r="E5" s="3512" t="s">
        <v>1668</v>
      </c>
      <c r="F5" s="3503"/>
      <c r="G5" s="3511" t="s">
        <v>1669</v>
      </c>
      <c r="H5" s="3496"/>
      <c r="I5" s="3511" t="s">
        <v>1670</v>
      </c>
      <c r="J5" s="3496"/>
      <c r="K5" s="537"/>
      <c r="L5" s="2481"/>
      <c r="M5" s="2482"/>
      <c r="N5" s="2482"/>
      <c r="O5" s="2482"/>
      <c r="P5" s="3547"/>
      <c r="Q5" s="3484"/>
      <c r="R5" s="3489"/>
      <c r="S5" s="3490"/>
      <c r="T5" s="3489"/>
      <c r="U5" s="3490"/>
      <c r="V5" s="3463"/>
      <c r="W5" s="3463"/>
      <c r="X5" s="1264"/>
      <c r="Y5" s="3489"/>
      <c r="Z5" s="3490"/>
      <c r="AA5" s="3475"/>
      <c r="AB5" s="3475"/>
      <c r="AC5" s="3543"/>
    </row>
    <row r="6" spans="1:29" ht="15.75" thickBot="1">
      <c r="A6" s="350"/>
      <c r="B6" s="351"/>
      <c r="C6" s="3493" t="s">
        <v>1671</v>
      </c>
      <c r="D6" s="3494"/>
      <c r="E6" s="3500" t="s">
        <v>1671</v>
      </c>
      <c r="F6" s="3501"/>
      <c r="G6" s="3493" t="s">
        <v>1671</v>
      </c>
      <c r="H6" s="3494"/>
      <c r="I6" s="3493" t="s">
        <v>1671</v>
      </c>
      <c r="J6" s="3494"/>
      <c r="K6" s="537" t="s">
        <v>1672</v>
      </c>
      <c r="L6" s="2481"/>
      <c r="M6" s="2482"/>
      <c r="N6" s="2482"/>
      <c r="O6" s="2482"/>
      <c r="P6" s="3548"/>
      <c r="Q6" s="3486"/>
      <c r="R6" s="3489"/>
      <c r="S6" s="3490"/>
      <c r="T6" s="3491"/>
      <c r="U6" s="3492"/>
      <c r="V6" s="3463"/>
      <c r="W6" s="3463"/>
      <c r="X6" s="1264"/>
      <c r="Y6" s="3491"/>
      <c r="Z6" s="3492"/>
      <c r="AA6" s="3476"/>
      <c r="AB6" s="3476"/>
      <c r="AC6" s="3544"/>
    </row>
    <row r="7" spans="1:29" s="102" customFormat="1" ht="15.75" thickBot="1">
      <c r="A7" s="352" t="s">
        <v>1673</v>
      </c>
      <c r="B7" s="353"/>
      <c r="C7" s="354">
        <f>'数据-取费表'!B2</f>
        <v>45291</v>
      </c>
      <c r="D7" s="355">
        <v>100</v>
      </c>
      <c r="E7" s="356"/>
      <c r="F7" s="357">
        <f>SUMIF(59:59,YEAR(E7)&amp;"-"&amp;MONTH(E7),60:60)</f>
        <v>0</v>
      </c>
      <c r="G7" s="356"/>
      <c r="H7" s="355">
        <f>SUMIF(59:59,YEAR(G7)&amp;"-"&amp;MONTH(G7),60:60)</f>
        <v>0</v>
      </c>
      <c r="I7" s="356"/>
      <c r="J7" s="355">
        <f>SUMIF(59:59,YEAR(I7)&amp;"-"&amp;MONTH(I7),60:60)</f>
        <v>0</v>
      </c>
      <c r="K7" s="38"/>
      <c r="L7" s="2483"/>
      <c r="M7" s="2435"/>
      <c r="N7" s="2435"/>
      <c r="O7" s="2435"/>
      <c r="P7" s="3552" t="s">
        <v>1674</v>
      </c>
      <c r="Q7" s="3499"/>
      <c r="R7" s="664" t="s">
        <v>14</v>
      </c>
      <c r="S7" s="665">
        <f t="shared" ref="S7:S15" si="0">F7</f>
        <v>0</v>
      </c>
      <c r="T7" s="664" t="s">
        <v>14</v>
      </c>
      <c r="U7" s="665">
        <f t="shared" ref="U7:U15" si="1">H7</f>
        <v>0</v>
      </c>
      <c r="V7" s="664" t="s">
        <v>14</v>
      </c>
      <c r="W7" s="665">
        <f t="shared" ref="W7:W15" si="2">J7</f>
        <v>0</v>
      </c>
      <c r="X7" s="666"/>
      <c r="Y7" s="3497" t="s">
        <v>1674</v>
      </c>
      <c r="Z7" s="3498"/>
      <c r="AA7" s="50" t="e">
        <f>D7/F7</f>
        <v>#DIV/0!</v>
      </c>
      <c r="AB7" s="50" t="e">
        <f>D7/H7</f>
        <v>#DIV/0!</v>
      </c>
      <c r="AC7" s="802" t="e">
        <f>D7/J7</f>
        <v>#DIV/0!</v>
      </c>
    </row>
    <row r="8" spans="1:29" s="102" customFormat="1" ht="15.75" thickBot="1">
      <c r="A8" s="352" t="s">
        <v>1675</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552" t="s">
        <v>1677</v>
      </c>
      <c r="Q8" s="3498"/>
      <c r="R8" s="664" t="s">
        <v>14</v>
      </c>
      <c r="S8" s="665">
        <f t="shared" si="0"/>
        <v>100</v>
      </c>
      <c r="T8" s="664" t="s">
        <v>14</v>
      </c>
      <c r="U8" s="665">
        <f t="shared" si="1"/>
        <v>100</v>
      </c>
      <c r="V8" s="664" t="s">
        <v>14</v>
      </c>
      <c r="W8" s="665">
        <f t="shared" si="2"/>
        <v>100</v>
      </c>
      <c r="X8" s="666"/>
      <c r="Y8" s="3497" t="s">
        <v>1677</v>
      </c>
      <c r="Z8" s="3498"/>
      <c r="AA8" s="50">
        <f t="shared" ref="AA8:AA47" si="3">D8/F8</f>
        <v>1</v>
      </c>
      <c r="AB8" s="50">
        <f t="shared" ref="AB8:AB47" si="4">D8/H8</f>
        <v>1</v>
      </c>
      <c r="AC8" s="802">
        <f t="shared" ref="AC8:AC47" si="5">D8/J8</f>
        <v>1</v>
      </c>
    </row>
    <row r="9" spans="1:29" s="102" customFormat="1">
      <c r="A9" s="359" t="s">
        <v>1678</v>
      </c>
      <c r="B9" s="60" t="s">
        <v>1679</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73" t="s">
        <v>1680</v>
      </c>
      <c r="Q9" s="530" t="str">
        <f t="shared" ref="Q9:Q15" si="6">B9</f>
        <v>用途</v>
      </c>
      <c r="R9" s="664" t="s">
        <v>14</v>
      </c>
      <c r="S9" s="665">
        <f t="shared" si="0"/>
        <v>100</v>
      </c>
      <c r="T9" s="664" t="s">
        <v>14</v>
      </c>
      <c r="U9" s="665">
        <f t="shared" si="1"/>
        <v>100</v>
      </c>
      <c r="V9" s="664" t="s">
        <v>14</v>
      </c>
      <c r="W9" s="665">
        <f t="shared" si="2"/>
        <v>100</v>
      </c>
      <c r="X9" s="666"/>
      <c r="Y9" s="3366" t="s">
        <v>1681</v>
      </c>
      <c r="Z9" s="50" t="str">
        <f t="shared" ref="Z9:Z15" si="7">Q9</f>
        <v>用途</v>
      </c>
      <c r="AA9" s="50">
        <f t="shared" si="3"/>
        <v>1</v>
      </c>
      <c r="AB9" s="50">
        <f t="shared" si="4"/>
        <v>1</v>
      </c>
      <c r="AC9" s="802">
        <f t="shared" si="5"/>
        <v>1</v>
      </c>
    </row>
    <row r="10" spans="1:29" s="366" customFormat="1" ht="27">
      <c r="A10" s="363"/>
      <c r="B10" s="364" t="s">
        <v>1682</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473"/>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802">
        <f t="shared" si="5"/>
        <v>1</v>
      </c>
    </row>
    <row r="11" spans="1:29" ht="15">
      <c r="A11" s="367"/>
      <c r="B11" s="364" t="s">
        <v>1683</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73"/>
      <c r="Q11" s="530" t="str">
        <f t="shared" si="6"/>
        <v>容积率</v>
      </c>
      <c r="R11" s="664" t="s">
        <v>14</v>
      </c>
      <c r="S11" s="665">
        <f t="shared" si="0"/>
        <v>100</v>
      </c>
      <c r="T11" s="664" t="s">
        <v>14</v>
      </c>
      <c r="U11" s="665">
        <f t="shared" si="1"/>
        <v>100</v>
      </c>
      <c r="V11" s="664" t="s">
        <v>14</v>
      </c>
      <c r="W11" s="665">
        <f t="shared" si="2"/>
        <v>100</v>
      </c>
      <c r="X11" s="666"/>
      <c r="Y11" s="336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3"/>
      <c r="M12" s="2435"/>
      <c r="N12" s="2435"/>
      <c r="O12" s="2435"/>
      <c r="P12" s="3473"/>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7"/>
      <c r="M13" s="2482"/>
      <c r="N13" s="2482"/>
      <c r="O13" s="2482"/>
      <c r="P13" s="3473"/>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7"/>
      <c r="M14" s="2482"/>
      <c r="N14" s="2482"/>
      <c r="O14" s="2482"/>
      <c r="P14" s="3473"/>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802">
        <f t="shared" si="5"/>
        <v>1</v>
      </c>
    </row>
    <row r="15" spans="1:29" ht="71.25">
      <c r="A15" s="379" t="s">
        <v>1684</v>
      </c>
      <c r="B15" s="554" t="s">
        <v>1805</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71" t="s">
        <v>1685</v>
      </c>
      <c r="Q15" s="1262" t="str">
        <f t="shared" si="6"/>
        <v>办公集聚程度</v>
      </c>
      <c r="R15" s="667" t="s">
        <v>14</v>
      </c>
      <c r="S15" s="668">
        <f t="shared" si="0"/>
        <v>100</v>
      </c>
      <c r="T15" s="667" t="s">
        <v>14</v>
      </c>
      <c r="U15" s="668">
        <f t="shared" si="1"/>
        <v>100</v>
      </c>
      <c r="V15" s="667" t="s">
        <v>14</v>
      </c>
      <c r="W15" s="668">
        <f t="shared" si="2"/>
        <v>100</v>
      </c>
      <c r="X15" s="1264"/>
      <c r="Y15" s="3464" t="s">
        <v>1685</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7"/>
      <c r="M16" s="2482"/>
      <c r="N16" s="2482"/>
      <c r="O16" s="2482"/>
      <c r="P16" s="3472"/>
      <c r="Q16" s="1262"/>
      <c r="R16" s="667"/>
      <c r="S16" s="668"/>
      <c r="T16" s="667"/>
      <c r="U16" s="668"/>
      <c r="V16" s="667"/>
      <c r="W16" s="668"/>
      <c r="X16" s="1264"/>
      <c r="Y16" s="3465"/>
      <c r="Z16" s="1263"/>
      <c r="AA16" s="1263">
        <v>1</v>
      </c>
      <c r="AB16" s="1263">
        <v>1</v>
      </c>
      <c r="AC16" s="1808">
        <v>1</v>
      </c>
    </row>
    <row r="17" spans="1:29" ht="71.25">
      <c r="A17" s="367"/>
      <c r="B17" s="556" t="s">
        <v>1253</v>
      </c>
      <c r="C17" s="1809"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72"/>
      <c r="Q17" s="1262" t="str">
        <f>B17</f>
        <v>交通便捷度</v>
      </c>
      <c r="R17" s="667" t="s">
        <v>14</v>
      </c>
      <c r="S17" s="668">
        <f>F17</f>
        <v>100</v>
      </c>
      <c r="T17" s="667" t="s">
        <v>14</v>
      </c>
      <c r="U17" s="668">
        <f>H17</f>
        <v>100</v>
      </c>
      <c r="V17" s="667" t="s">
        <v>14</v>
      </c>
      <c r="W17" s="668">
        <f>J17</f>
        <v>100</v>
      </c>
      <c r="X17" s="1264"/>
      <c r="Y17" s="3465"/>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7"/>
      <c r="M18" s="2482"/>
      <c r="N18" s="2482"/>
      <c r="O18" s="2482"/>
      <c r="P18" s="3472"/>
      <c r="Q18" s="1262"/>
      <c r="R18" s="667"/>
      <c r="S18" s="668"/>
      <c r="T18" s="667"/>
      <c r="U18" s="668"/>
      <c r="V18" s="667"/>
      <c r="W18" s="668"/>
      <c r="X18" s="1264"/>
      <c r="Y18" s="3465"/>
      <c r="Z18" s="1263"/>
      <c r="AA18" s="1263">
        <v>1</v>
      </c>
      <c r="AB18" s="1263">
        <v>1</v>
      </c>
      <c r="AC18" s="1808">
        <v>1</v>
      </c>
    </row>
    <row r="19" spans="1:29" ht="42.75">
      <c r="A19" s="367"/>
      <c r="B19" s="556" t="s">
        <v>1806</v>
      </c>
      <c r="C19" s="1809"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72"/>
      <c r="Q19" s="1262" t="str">
        <f>B19</f>
        <v>公共配套设施</v>
      </c>
      <c r="R19" s="667" t="s">
        <v>14</v>
      </c>
      <c r="S19" s="668">
        <f>F19</f>
        <v>100</v>
      </c>
      <c r="T19" s="667" t="s">
        <v>14</v>
      </c>
      <c r="U19" s="668">
        <f>H19</f>
        <v>100</v>
      </c>
      <c r="V19" s="667" t="s">
        <v>14</v>
      </c>
      <c r="W19" s="668">
        <f>J19</f>
        <v>100</v>
      </c>
      <c r="X19" s="1264"/>
      <c r="Y19" s="3465"/>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7"/>
      <c r="M20" s="2482"/>
      <c r="N20" s="2482"/>
      <c r="O20" s="2482"/>
      <c r="P20" s="3472"/>
      <c r="Q20" s="1262"/>
      <c r="R20" s="667"/>
      <c r="S20" s="668"/>
      <c r="T20" s="667"/>
      <c r="U20" s="668"/>
      <c r="V20" s="667"/>
      <c r="W20" s="668"/>
      <c r="X20" s="1264"/>
      <c r="Y20" s="3465"/>
      <c r="Z20" s="1263"/>
      <c r="AA20" s="1263">
        <v>1</v>
      </c>
      <c r="AB20" s="1263">
        <v>1</v>
      </c>
      <c r="AC20" s="1808">
        <v>1</v>
      </c>
    </row>
    <row r="21" spans="1:29" ht="28.5">
      <c r="A21" s="367"/>
      <c r="B21" s="557" t="s">
        <v>1807</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72"/>
      <c r="Q21" s="1262" t="str">
        <f>B21</f>
        <v>基础设施水平</v>
      </c>
      <c r="R21" s="667" t="s">
        <v>14</v>
      </c>
      <c r="S21" s="668">
        <f>F21</f>
        <v>100</v>
      </c>
      <c r="T21" s="667" t="s">
        <v>14</v>
      </c>
      <c r="U21" s="668">
        <f>H21</f>
        <v>100</v>
      </c>
      <c r="V21" s="667" t="s">
        <v>14</v>
      </c>
      <c r="W21" s="668">
        <f>J21</f>
        <v>100</v>
      </c>
      <c r="X21" s="1264"/>
      <c r="Y21" s="3465"/>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7"/>
      <c r="M22" s="2482"/>
      <c r="N22" s="2482"/>
      <c r="O22" s="2482"/>
      <c r="P22" s="3472"/>
      <c r="Q22" s="1262"/>
      <c r="R22" s="667"/>
      <c r="S22" s="668"/>
      <c r="T22" s="667"/>
      <c r="U22" s="668"/>
      <c r="V22" s="667"/>
      <c r="W22" s="668"/>
      <c r="X22" s="1264"/>
      <c r="Y22" s="3465"/>
      <c r="Z22" s="1263"/>
      <c r="AA22" s="1263">
        <v>1</v>
      </c>
      <c r="AB22" s="1263">
        <v>1</v>
      </c>
      <c r="AC22" s="1808">
        <v>1</v>
      </c>
    </row>
    <row r="23" spans="1:29" ht="42.75">
      <c r="A23" s="367"/>
      <c r="B23" s="556" t="s">
        <v>1808</v>
      </c>
      <c r="C23" s="1809"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72"/>
      <c r="Q23" s="1262" t="str">
        <f>B23</f>
        <v>环境质量</v>
      </c>
      <c r="R23" s="667" t="s">
        <v>14</v>
      </c>
      <c r="S23" s="668">
        <f>F23</f>
        <v>100</v>
      </c>
      <c r="T23" s="667" t="s">
        <v>14</v>
      </c>
      <c r="U23" s="668">
        <f>H23</f>
        <v>100</v>
      </c>
      <c r="V23" s="667" t="s">
        <v>14</v>
      </c>
      <c r="W23" s="668">
        <f>J23</f>
        <v>100</v>
      </c>
      <c r="X23" s="1264"/>
      <c r="Y23" s="3465"/>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7"/>
      <c r="M24" s="2482"/>
      <c r="N24" s="2482"/>
      <c r="O24" s="2482"/>
      <c r="P24" s="3472"/>
      <c r="Q24" s="1262"/>
      <c r="R24" s="667"/>
      <c r="S24" s="668"/>
      <c r="T24" s="667"/>
      <c r="U24" s="668"/>
      <c r="V24" s="667"/>
      <c r="W24" s="668"/>
      <c r="X24" s="1264"/>
      <c r="Y24" s="3465"/>
      <c r="Z24" s="1263"/>
      <c r="AA24" s="1263">
        <v>1</v>
      </c>
      <c r="AB24" s="1263">
        <v>1</v>
      </c>
      <c r="AC24" s="1808">
        <v>1</v>
      </c>
    </row>
    <row r="25" spans="1:29" ht="27">
      <c r="A25" s="348"/>
      <c r="B25" s="556" t="s">
        <v>1809</v>
      </c>
      <c r="C25" s="1760"/>
      <c r="D25" s="374">
        <v>100</v>
      </c>
      <c r="E25" s="373"/>
      <c r="F25" s="374">
        <f>SUMIF(87:87,E26,88:88)-SUMIF(87:87,C26,88:88)+100</f>
        <v>100</v>
      </c>
      <c r="G25" s="1760"/>
      <c r="H25" s="374">
        <f>SUMIF(87:87,G26,88:88)-SUMIF(87:87,C26,88:88)+100</f>
        <v>100</v>
      </c>
      <c r="I25" s="373"/>
      <c r="J25" s="374">
        <f>SUMIF(87:87,I26,88:88)-SUMIF(87:87,C26,88:88)+100</f>
        <v>100</v>
      </c>
      <c r="K25" s="540"/>
      <c r="L25" s="2487"/>
      <c r="M25" s="2482"/>
      <c r="N25" s="2482"/>
      <c r="O25" s="2482"/>
      <c r="P25" s="3472"/>
      <c r="Q25" s="1262" t="str">
        <f>B25</f>
        <v>毗邻道路的类型与等级</v>
      </c>
      <c r="R25" s="667" t="s">
        <v>14</v>
      </c>
      <c r="S25" s="668">
        <f>F25</f>
        <v>100</v>
      </c>
      <c r="T25" s="667" t="s">
        <v>14</v>
      </c>
      <c r="U25" s="668">
        <f>H25</f>
        <v>100</v>
      </c>
      <c r="V25" s="667" t="s">
        <v>14</v>
      </c>
      <c r="W25" s="668">
        <f>J25</f>
        <v>100</v>
      </c>
      <c r="X25" s="1264"/>
      <c r="Y25" s="3465"/>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7"/>
      <c r="M26" s="2482"/>
      <c r="N26" s="2482"/>
      <c r="O26" s="2482"/>
      <c r="P26" s="3472"/>
      <c r="Q26" s="1262"/>
      <c r="R26" s="667"/>
      <c r="S26" s="668"/>
      <c r="T26" s="667"/>
      <c r="U26" s="668"/>
      <c r="V26" s="667"/>
      <c r="W26" s="668"/>
      <c r="X26" s="1264"/>
      <c r="Y26" s="3465"/>
      <c r="Z26" s="1263"/>
      <c r="AA26" s="1263">
        <v>1</v>
      </c>
      <c r="AB26" s="1263">
        <v>1</v>
      </c>
      <c r="AC26" s="1808">
        <v>1</v>
      </c>
    </row>
    <row r="27" spans="1:29" ht="15">
      <c r="A27" s="367"/>
      <c r="B27" s="401" t="s">
        <v>1777</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72"/>
      <c r="Q27" s="1262" t="str">
        <f t="shared" ref="Q27:Q47" si="11">B27</f>
        <v>楼层</v>
      </c>
      <c r="R27" s="667" t="s">
        <v>14</v>
      </c>
      <c r="S27" s="668">
        <f>F27</f>
        <v>100</v>
      </c>
      <c r="T27" s="667" t="s">
        <v>14</v>
      </c>
      <c r="U27" s="668">
        <f>H27</f>
        <v>100</v>
      </c>
      <c r="V27" s="667" t="s">
        <v>14</v>
      </c>
      <c r="W27" s="668">
        <f>J27</f>
        <v>100</v>
      </c>
      <c r="X27" s="1264"/>
      <c r="Y27" s="3465"/>
      <c r="Z27" s="1263" t="str">
        <f>Q27</f>
        <v>楼层</v>
      </c>
      <c r="AA27" s="1263">
        <f t="shared" si="3"/>
        <v>1</v>
      </c>
      <c r="AB27" s="1263">
        <f t="shared" si="4"/>
        <v>1</v>
      </c>
      <c r="AC27" s="1808">
        <f t="shared" si="5"/>
        <v>1</v>
      </c>
    </row>
    <row r="28" spans="1:29" s="102" customFormat="1" ht="15">
      <c r="A28" s="370"/>
      <c r="B28" s="556" t="s">
        <v>1810</v>
      </c>
      <c r="C28" s="1811"/>
      <c r="D28" s="401">
        <v>100</v>
      </c>
      <c r="E28" s="1803"/>
      <c r="F28" s="401">
        <f>SUMIF(91:91,E28,92:92)-SUMIF(91:91,C28,92:92)+100</f>
        <v>100</v>
      </c>
      <c r="G28" s="1811"/>
      <c r="H28" s="401">
        <f>SUMIF(91:91,G28,92:92)-SUMIF(91:91,C28,92:92)+100</f>
        <v>100</v>
      </c>
      <c r="I28" s="1803"/>
      <c r="J28" s="401">
        <f>SUMIF(91:91,I28,92:92)-SUMIF(91:91,C28,92:92)+100</f>
        <v>100</v>
      </c>
      <c r="K28" s="538"/>
      <c r="L28" s="2483"/>
      <c r="M28" s="2435"/>
      <c r="N28" s="2435"/>
      <c r="O28" s="2435"/>
      <c r="P28" s="3472"/>
      <c r="Q28" s="530" t="str">
        <f t="shared" si="11"/>
        <v>朝向</v>
      </c>
      <c r="R28" s="664" t="s">
        <v>14</v>
      </c>
      <c r="S28" s="665">
        <f>F28</f>
        <v>100</v>
      </c>
      <c r="T28" s="664" t="s">
        <v>14</v>
      </c>
      <c r="U28" s="665">
        <f>H28</f>
        <v>100</v>
      </c>
      <c r="V28" s="664" t="s">
        <v>14</v>
      </c>
      <c r="W28" s="665">
        <f>J28</f>
        <v>100</v>
      </c>
      <c r="X28" s="666"/>
      <c r="Y28" s="3465"/>
      <c r="Z28" s="50" t="str">
        <f>Q28</f>
        <v>朝向</v>
      </c>
      <c r="AA28" s="1263">
        <f>D28/F28</f>
        <v>1</v>
      </c>
      <c r="AB28" s="1263">
        <f>D28/H28</f>
        <v>1</v>
      </c>
      <c r="AC28" s="1808">
        <f>D28/J28</f>
        <v>1</v>
      </c>
    </row>
    <row r="29" spans="1:29" ht="15">
      <c r="A29" s="367"/>
      <c r="B29" s="1098">
        <v>111</v>
      </c>
      <c r="C29" s="1760"/>
      <c r="D29" s="374">
        <v>100</v>
      </c>
      <c r="E29" s="371"/>
      <c r="F29" s="374">
        <f>SUMIF(93:93,E29,94:94)-SUMIF(93:93,C29,94:94)+100</f>
        <v>100</v>
      </c>
      <c r="G29" s="1806"/>
      <c r="H29" s="374">
        <f>SUMIF(93:93,G29,94:94)-SUMIF(93:93,C29,94:94)+100</f>
        <v>100</v>
      </c>
      <c r="I29" s="371"/>
      <c r="J29" s="374">
        <f>SUMIF(93:93,I29,94:94)-SUMIF(93:93,C29,94:94)+100</f>
        <v>100</v>
      </c>
      <c r="K29" s="539"/>
      <c r="L29" s="2487"/>
      <c r="M29" s="2482"/>
      <c r="N29" s="2482"/>
      <c r="O29" s="2482"/>
      <c r="P29" s="3472"/>
      <c r="Q29" s="1262">
        <f t="shared" si="11"/>
        <v>111</v>
      </c>
      <c r="R29" s="667" t="s">
        <v>14</v>
      </c>
      <c r="S29" s="668">
        <f t="shared" ref="S29:S47" si="12">F29</f>
        <v>100</v>
      </c>
      <c r="T29" s="667" t="s">
        <v>14</v>
      </c>
      <c r="U29" s="668">
        <f t="shared" ref="U29:U47" si="13">H29</f>
        <v>100</v>
      </c>
      <c r="V29" s="667" t="s">
        <v>14</v>
      </c>
      <c r="W29" s="668">
        <f t="shared" ref="W29:W47" si="14">J29</f>
        <v>100</v>
      </c>
      <c r="X29" s="1264"/>
      <c r="Y29" s="3465"/>
      <c r="Z29" s="1263">
        <f t="shared" ref="Z29:Z47" si="15">Q29</f>
        <v>111</v>
      </c>
      <c r="AA29" s="1263">
        <f t="shared" si="3"/>
        <v>1</v>
      </c>
      <c r="AB29" s="1263">
        <f t="shared" si="4"/>
        <v>1</v>
      </c>
      <c r="AC29" s="1808">
        <f t="shared" si="5"/>
        <v>1</v>
      </c>
    </row>
    <row r="30" spans="1:29" ht="15">
      <c r="A30" s="367"/>
      <c r="B30" s="1098">
        <v>111</v>
      </c>
      <c r="C30" s="1760"/>
      <c r="D30" s="374">
        <v>100</v>
      </c>
      <c r="E30" s="371"/>
      <c r="F30" s="374">
        <f>SUMIF(95:95,E30,96:96)-SUMIF(95:95,C30,96:96)+100</f>
        <v>100</v>
      </c>
      <c r="G30" s="1806"/>
      <c r="H30" s="374">
        <f>SUMIF(95:95,G30,96:96)-SUMIF(95:95,C30,96:96)+100</f>
        <v>100</v>
      </c>
      <c r="I30" s="371"/>
      <c r="J30" s="374">
        <f>SUMIF(95:95,I30,96:96)-SUMIF(95:95,C30,96:96)+100</f>
        <v>100</v>
      </c>
      <c r="K30" s="539"/>
      <c r="L30" s="2487"/>
      <c r="M30" s="2482"/>
      <c r="N30" s="2482"/>
      <c r="O30" s="2482"/>
      <c r="P30" s="3472"/>
      <c r="Q30" s="1262">
        <f t="shared" si="11"/>
        <v>111</v>
      </c>
      <c r="R30" s="667" t="s">
        <v>14</v>
      </c>
      <c r="S30" s="668">
        <f t="shared" si="12"/>
        <v>100</v>
      </c>
      <c r="T30" s="667" t="s">
        <v>14</v>
      </c>
      <c r="U30" s="668">
        <f t="shared" si="13"/>
        <v>100</v>
      </c>
      <c r="V30" s="667" t="s">
        <v>14</v>
      </c>
      <c r="W30" s="668">
        <f t="shared" si="14"/>
        <v>100</v>
      </c>
      <c r="X30" s="1264"/>
      <c r="Y30" s="3465"/>
      <c r="Z30" s="1263">
        <f t="shared" si="15"/>
        <v>111</v>
      </c>
      <c r="AA30" s="1263">
        <f t="shared" si="3"/>
        <v>1</v>
      </c>
      <c r="AB30" s="1263">
        <f t="shared" si="4"/>
        <v>1</v>
      </c>
      <c r="AC30" s="1808">
        <f t="shared" si="5"/>
        <v>1</v>
      </c>
    </row>
    <row r="31" spans="1:29" ht="15">
      <c r="A31" s="367"/>
      <c r="B31" s="1098">
        <v>111</v>
      </c>
      <c r="C31" s="1760"/>
      <c r="D31" s="374">
        <v>100</v>
      </c>
      <c r="E31" s="371"/>
      <c r="F31" s="374">
        <f>SUMIF(97:97,E31,98:98)-SUMIF(97:97,C31,98:98)+100</f>
        <v>100</v>
      </c>
      <c r="G31" s="1806"/>
      <c r="H31" s="374">
        <f>SUMIF(97:97,G31,98:98)-SUMIF(97:97,C31,98:98)+100</f>
        <v>100</v>
      </c>
      <c r="I31" s="371"/>
      <c r="J31" s="374">
        <f>SUMIF(97:97,I31,98:98)-SUMIF(97:97,C31,98:98)+100</f>
        <v>100</v>
      </c>
      <c r="K31" s="539"/>
      <c r="L31" s="2487"/>
      <c r="M31" s="2482"/>
      <c r="N31" s="2482"/>
      <c r="O31" s="2482"/>
      <c r="P31" s="3472"/>
      <c r="Q31" s="1262">
        <f t="shared" si="11"/>
        <v>111</v>
      </c>
      <c r="R31" s="667" t="s">
        <v>14</v>
      </c>
      <c r="S31" s="668">
        <f t="shared" si="12"/>
        <v>100</v>
      </c>
      <c r="T31" s="667" t="s">
        <v>14</v>
      </c>
      <c r="U31" s="668">
        <f t="shared" si="13"/>
        <v>100</v>
      </c>
      <c r="V31" s="667" t="s">
        <v>14</v>
      </c>
      <c r="W31" s="668">
        <f t="shared" si="14"/>
        <v>100</v>
      </c>
      <c r="X31" s="1264"/>
      <c r="Y31" s="3465"/>
      <c r="Z31" s="1263">
        <f t="shared" si="15"/>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7"/>
      <c r="M32" s="2482"/>
      <c r="N32" s="2482"/>
      <c r="O32" s="2482"/>
      <c r="P32" s="3472"/>
      <c r="Q32" s="1262">
        <f t="shared" si="11"/>
        <v>111</v>
      </c>
      <c r="R32" s="667" t="s">
        <v>14</v>
      </c>
      <c r="S32" s="668">
        <f t="shared" si="12"/>
        <v>100</v>
      </c>
      <c r="T32" s="667" t="s">
        <v>14</v>
      </c>
      <c r="U32" s="668">
        <f t="shared" si="13"/>
        <v>100</v>
      </c>
      <c r="V32" s="667" t="s">
        <v>14</v>
      </c>
      <c r="W32" s="668">
        <f t="shared" si="14"/>
        <v>100</v>
      </c>
      <c r="X32" s="1264"/>
      <c r="Y32" s="3465"/>
      <c r="Z32" s="1263">
        <f t="shared" si="15"/>
        <v>111</v>
      </c>
      <c r="AA32" s="1263">
        <f t="shared" si="3"/>
        <v>1</v>
      </c>
      <c r="AB32" s="1263">
        <f t="shared" si="4"/>
        <v>1</v>
      </c>
      <c r="AC32" s="1808">
        <f t="shared" si="5"/>
        <v>1</v>
      </c>
    </row>
    <row r="33" spans="1:29" ht="15">
      <c r="A33" s="379" t="s">
        <v>1688</v>
      </c>
      <c r="B33" s="60" t="s">
        <v>1811</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7"/>
      <c r="M33" s="2482"/>
      <c r="N33" s="2482"/>
      <c r="O33" s="2482"/>
      <c r="P33" s="3466" t="s">
        <v>1690</v>
      </c>
      <c r="Q33" s="1262" t="str">
        <f t="shared" si="11"/>
        <v>建筑类型</v>
      </c>
      <c r="R33" s="667" t="s">
        <v>14</v>
      </c>
      <c r="S33" s="668">
        <f t="shared" si="12"/>
        <v>100</v>
      </c>
      <c r="T33" s="667" t="s">
        <v>14</v>
      </c>
      <c r="U33" s="668">
        <f t="shared" si="13"/>
        <v>100</v>
      </c>
      <c r="V33" s="667" t="s">
        <v>14</v>
      </c>
      <c r="W33" s="668">
        <f t="shared" si="14"/>
        <v>100</v>
      </c>
      <c r="X33" s="1264"/>
      <c r="Y33" s="3469" t="s">
        <v>1690</v>
      </c>
      <c r="Z33" s="1263" t="str">
        <f t="shared" si="15"/>
        <v>建筑类型</v>
      </c>
      <c r="AA33" s="1263">
        <f t="shared" si="3"/>
        <v>1</v>
      </c>
      <c r="AB33" s="1263">
        <f t="shared" si="4"/>
        <v>1</v>
      </c>
      <c r="AC33" s="1808">
        <f t="shared" si="5"/>
        <v>1</v>
      </c>
    </row>
    <row r="34" spans="1:29" s="408" customFormat="1" ht="15">
      <c r="A34" s="406"/>
      <c r="B34" s="364" t="s">
        <v>1691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67"/>
      <c r="Q34" s="531" t="str">
        <f t="shared" si="11"/>
        <v>项目建筑规模</v>
      </c>
      <c r="R34" s="669" t="s">
        <v>14</v>
      </c>
      <c r="S34" s="670" t="e">
        <f t="shared" si="12"/>
        <v>#N/A</v>
      </c>
      <c r="T34" s="669" t="s">
        <v>14</v>
      </c>
      <c r="U34" s="670" t="e">
        <f t="shared" si="13"/>
        <v>#N/A</v>
      </c>
      <c r="V34" s="669" t="s">
        <v>14</v>
      </c>
      <c r="W34" s="670" t="e">
        <f t="shared" si="14"/>
        <v>#N/A</v>
      </c>
      <c r="X34" s="671"/>
      <c r="Y34" s="3469"/>
      <c r="Z34" s="672" t="str">
        <f t="shared" si="15"/>
        <v>项目建筑规模</v>
      </c>
      <c r="AA34" s="1263" t="e">
        <f t="shared" si="3"/>
        <v>#N/A</v>
      </c>
      <c r="AB34" s="1263" t="e">
        <f t="shared" si="4"/>
        <v>#N/A</v>
      </c>
      <c r="AC34" s="1808" t="e">
        <f t="shared" si="5"/>
        <v>#N/A</v>
      </c>
    </row>
    <row r="35" spans="1:29" ht="15">
      <c r="A35" s="409"/>
      <c r="B35" s="364" t="s">
        <v>1692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67"/>
      <c r="Q35" s="1262" t="str">
        <f t="shared" si="11"/>
        <v>建筑结构</v>
      </c>
      <c r="R35" s="667" t="s">
        <v>14</v>
      </c>
      <c r="S35" s="668">
        <f t="shared" si="12"/>
        <v>100</v>
      </c>
      <c r="T35" s="667" t="s">
        <v>14</v>
      </c>
      <c r="U35" s="668">
        <f t="shared" si="13"/>
        <v>100</v>
      </c>
      <c r="V35" s="667" t="s">
        <v>14</v>
      </c>
      <c r="W35" s="668">
        <f t="shared" si="14"/>
        <v>100</v>
      </c>
      <c r="X35" s="1264"/>
      <c r="Y35" s="3469"/>
      <c r="Z35" s="1263" t="str">
        <f t="shared" si="15"/>
        <v>建筑结构</v>
      </c>
      <c r="AA35" s="1263">
        <f t="shared" si="3"/>
        <v>1</v>
      </c>
      <c r="AB35" s="1263">
        <f t="shared" si="4"/>
        <v>1</v>
      </c>
      <c r="AC35" s="1808">
        <f t="shared" si="5"/>
        <v>1</v>
      </c>
    </row>
    <row r="36" spans="1:29" ht="15">
      <c r="A36" s="409"/>
      <c r="B36" s="364" t="s">
        <v>1779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67"/>
      <c r="Q36" s="1262" t="str">
        <f t="shared" si="11"/>
        <v>公共部分装修</v>
      </c>
      <c r="R36" s="667" t="s">
        <v>14</v>
      </c>
      <c r="S36" s="668">
        <f t="shared" si="12"/>
        <v>100</v>
      </c>
      <c r="T36" s="667" t="s">
        <v>14</v>
      </c>
      <c r="U36" s="668">
        <f t="shared" si="13"/>
        <v>100</v>
      </c>
      <c r="V36" s="667" t="s">
        <v>14</v>
      </c>
      <c r="W36" s="668">
        <f t="shared" si="14"/>
        <v>100</v>
      </c>
      <c r="X36" s="1264"/>
      <c r="Y36" s="3469"/>
      <c r="Z36" s="1263" t="str">
        <f t="shared" si="15"/>
        <v>公共部分装修</v>
      </c>
      <c r="AA36" s="1263">
        <f t="shared" si="3"/>
        <v>1</v>
      </c>
      <c r="AB36" s="1263">
        <f t="shared" si="4"/>
        <v>1</v>
      </c>
      <c r="AC36" s="1808">
        <f t="shared" si="5"/>
        <v>1</v>
      </c>
    </row>
    <row r="37" spans="1:29" ht="15">
      <c r="A37" s="409"/>
      <c r="B37" s="364" t="s">
        <v>1780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67"/>
      <c r="Q37" s="1262" t="str">
        <f t="shared" si="11"/>
        <v>成新度</v>
      </c>
      <c r="R37" s="667" t="s">
        <v>14</v>
      </c>
      <c r="S37" s="668" t="e">
        <f t="shared" si="12"/>
        <v>#N/A</v>
      </c>
      <c r="T37" s="667" t="s">
        <v>14</v>
      </c>
      <c r="U37" s="668" t="e">
        <f t="shared" si="13"/>
        <v>#N/A</v>
      </c>
      <c r="V37" s="667" t="s">
        <v>14</v>
      </c>
      <c r="W37" s="668" t="e">
        <f t="shared" si="14"/>
        <v>#N/A</v>
      </c>
      <c r="X37" s="1264"/>
      <c r="Y37" s="3469"/>
      <c r="Z37" s="1263" t="str">
        <f t="shared" si="15"/>
        <v>成新度</v>
      </c>
      <c r="AA37" s="1263" t="e">
        <f t="shared" si="3"/>
        <v>#N/A</v>
      </c>
      <c r="AB37" s="1263" t="e">
        <f t="shared" si="4"/>
        <v>#N/A</v>
      </c>
      <c r="AC37" s="1808" t="e">
        <f t="shared" si="5"/>
        <v>#N/A</v>
      </c>
    </row>
    <row r="38" spans="1:29" s="102" customFormat="1" ht="15">
      <c r="A38" s="410"/>
      <c r="B38" s="364" t="s">
        <v>1812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67"/>
      <c r="Q38" s="530" t="str">
        <f t="shared" si="11"/>
        <v>写字楼等级</v>
      </c>
      <c r="R38" s="664" t="s">
        <v>14</v>
      </c>
      <c r="S38" s="665">
        <f t="shared" si="12"/>
        <v>100</v>
      </c>
      <c r="T38" s="664" t="s">
        <v>14</v>
      </c>
      <c r="U38" s="665">
        <f t="shared" si="13"/>
        <v>100</v>
      </c>
      <c r="V38" s="664" t="s">
        <v>14</v>
      </c>
      <c r="W38" s="665">
        <f t="shared" si="14"/>
        <v>100</v>
      </c>
      <c r="X38" s="666"/>
      <c r="Y38" s="3469"/>
      <c r="Z38" s="50" t="str">
        <f t="shared" si="15"/>
        <v>写字楼等级</v>
      </c>
      <c r="AA38" s="50">
        <f t="shared" si="3"/>
        <v>1</v>
      </c>
      <c r="AB38" s="50">
        <f t="shared" si="4"/>
        <v>1</v>
      </c>
      <c r="AC38" s="802">
        <f t="shared" si="5"/>
        <v>1</v>
      </c>
    </row>
    <row r="39" spans="1:29" ht="15">
      <c r="A39" s="409"/>
      <c r="B39" s="364" t="s">
        <v>1813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67" t="s">
        <v>1690</v>
      </c>
      <c r="Q39" s="1262" t="str">
        <f t="shared" si="11"/>
        <v>物业管理</v>
      </c>
      <c r="R39" s="667" t="s">
        <v>14</v>
      </c>
      <c r="S39" s="668">
        <f t="shared" si="12"/>
        <v>100</v>
      </c>
      <c r="T39" s="667" t="s">
        <v>14</v>
      </c>
      <c r="U39" s="668">
        <f t="shared" si="13"/>
        <v>100</v>
      </c>
      <c r="V39" s="667" t="s">
        <v>14</v>
      </c>
      <c r="W39" s="668">
        <f t="shared" si="14"/>
        <v>100</v>
      </c>
      <c r="X39" s="1264"/>
      <c r="Y39" s="3469" t="s">
        <v>1690</v>
      </c>
      <c r="Z39" s="1263" t="str">
        <f t="shared" si="15"/>
        <v>物业管理</v>
      </c>
      <c r="AA39" s="1263">
        <f t="shared" si="3"/>
        <v>1</v>
      </c>
      <c r="AB39" s="1263">
        <f t="shared" si="4"/>
        <v>1</v>
      </c>
      <c r="AC39" s="1808">
        <f t="shared" si="5"/>
        <v>1</v>
      </c>
    </row>
    <row r="40" spans="1:29" ht="15">
      <c r="A40" s="409"/>
      <c r="B40" s="364" t="s">
        <v>1781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67"/>
      <c r="Q40" s="1262" t="str">
        <f t="shared" si="11"/>
        <v>市政基础设施</v>
      </c>
      <c r="R40" s="667" t="s">
        <v>14</v>
      </c>
      <c r="S40" s="668">
        <f t="shared" si="12"/>
        <v>100</v>
      </c>
      <c r="T40" s="667" t="s">
        <v>14</v>
      </c>
      <c r="U40" s="668">
        <f t="shared" si="13"/>
        <v>100</v>
      </c>
      <c r="V40" s="667" t="s">
        <v>14</v>
      </c>
      <c r="W40" s="668">
        <f t="shared" si="14"/>
        <v>100</v>
      </c>
      <c r="X40" s="1264"/>
      <c r="Y40" s="3469"/>
      <c r="Z40" s="1263" t="str">
        <f t="shared" si="15"/>
        <v>市政基础设施</v>
      </c>
      <c r="AA40" s="1263">
        <f t="shared" si="3"/>
        <v>1</v>
      </c>
      <c r="AB40" s="1263">
        <f t="shared" si="4"/>
        <v>1</v>
      </c>
      <c r="AC40" s="1808">
        <f t="shared" si="5"/>
        <v>1</v>
      </c>
    </row>
    <row r="41" spans="1:29" ht="15">
      <c r="A41" s="409"/>
      <c r="B41" s="364" t="s">
        <v>1783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67"/>
      <c r="Q41" s="1262" t="str">
        <f t="shared" si="11"/>
        <v>层高</v>
      </c>
      <c r="R41" s="667" t="s">
        <v>14</v>
      </c>
      <c r="S41" s="668">
        <f t="shared" si="12"/>
        <v>100</v>
      </c>
      <c r="T41" s="667" t="s">
        <v>14</v>
      </c>
      <c r="U41" s="668">
        <f t="shared" si="13"/>
        <v>100</v>
      </c>
      <c r="V41" s="667" t="s">
        <v>14</v>
      </c>
      <c r="W41" s="668">
        <f t="shared" si="14"/>
        <v>100</v>
      </c>
      <c r="X41" s="1264"/>
      <c r="Y41" s="3469"/>
      <c r="Z41" s="1263" t="str">
        <f t="shared" si="15"/>
        <v>层高</v>
      </c>
      <c r="AA41" s="1263">
        <f t="shared" si="3"/>
        <v>1</v>
      </c>
      <c r="AB41" s="1263">
        <f t="shared" si="4"/>
        <v>1</v>
      </c>
      <c r="AC41" s="1808">
        <f t="shared" si="5"/>
        <v>1</v>
      </c>
    </row>
    <row r="42" spans="1:29" s="408" customFormat="1" ht="15">
      <c r="A42" s="406"/>
      <c r="B42" s="400" t="s">
        <v>1814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67"/>
      <c r="Q42" s="531" t="str">
        <f t="shared" si="11"/>
        <v>单套建筑面积</v>
      </c>
      <c r="R42" s="669" t="s">
        <v>14</v>
      </c>
      <c r="S42" s="670">
        <f t="shared" si="12"/>
        <v>100</v>
      </c>
      <c r="T42" s="669" t="s">
        <v>14</v>
      </c>
      <c r="U42" s="670">
        <f t="shared" si="13"/>
        <v>100</v>
      </c>
      <c r="V42" s="669" t="s">
        <v>14</v>
      </c>
      <c r="W42" s="670">
        <f t="shared" si="14"/>
        <v>100</v>
      </c>
      <c r="X42" s="671"/>
      <c r="Y42" s="3469"/>
      <c r="Z42" s="672" t="str">
        <f t="shared" si="15"/>
        <v>单套建筑面积</v>
      </c>
      <c r="AA42" s="1263">
        <f t="shared" si="3"/>
        <v>1</v>
      </c>
      <c r="AB42" s="1263">
        <f t="shared" si="4"/>
        <v>1</v>
      </c>
      <c r="AC42" s="1808">
        <f t="shared" si="5"/>
        <v>1</v>
      </c>
    </row>
    <row r="43" spans="1:29" ht="15">
      <c r="A43" s="409"/>
      <c r="B43" s="364" t="s">
        <v>1786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67"/>
      <c r="Q43" s="1262" t="str">
        <f t="shared" si="11"/>
        <v>内部装修</v>
      </c>
      <c r="R43" s="667" t="s">
        <v>14</v>
      </c>
      <c r="S43" s="668">
        <f t="shared" si="12"/>
        <v>100</v>
      </c>
      <c r="T43" s="667" t="s">
        <v>14</v>
      </c>
      <c r="U43" s="668">
        <f t="shared" si="13"/>
        <v>100</v>
      </c>
      <c r="V43" s="667" t="s">
        <v>14</v>
      </c>
      <c r="W43" s="668">
        <f t="shared" si="14"/>
        <v>100</v>
      </c>
      <c r="X43" s="1264"/>
      <c r="Y43" s="3469"/>
      <c r="Z43" s="1263" t="str">
        <f t="shared" si="15"/>
        <v>内部装修</v>
      </c>
      <c r="AA43" s="1263">
        <f t="shared" si="3"/>
        <v>1</v>
      </c>
      <c r="AB43" s="1263">
        <f t="shared" si="4"/>
        <v>1</v>
      </c>
      <c r="AC43" s="1808">
        <f t="shared" si="5"/>
        <v>1</v>
      </c>
    </row>
    <row r="44" spans="1:29" ht="15">
      <c r="A44" s="409"/>
      <c r="B44" s="364" t="s">
        <v>1701</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7"/>
      <c r="M44" s="2482"/>
      <c r="N44" s="2482"/>
      <c r="O44" s="2482"/>
      <c r="P44" s="3467"/>
      <c r="Q44" s="1262" t="str">
        <f t="shared" si="11"/>
        <v>内部装修维护情况</v>
      </c>
      <c r="R44" s="667" t="s">
        <v>14</v>
      </c>
      <c r="S44" s="668">
        <f t="shared" si="12"/>
        <v>100</v>
      </c>
      <c r="T44" s="667" t="s">
        <v>14</v>
      </c>
      <c r="U44" s="668">
        <f t="shared" si="13"/>
        <v>100</v>
      </c>
      <c r="V44" s="667" t="s">
        <v>14</v>
      </c>
      <c r="W44" s="668">
        <f t="shared" si="14"/>
        <v>100</v>
      </c>
      <c r="X44" s="1264"/>
      <c r="Y44" s="3469"/>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67"/>
      <c r="Q45" s="530">
        <f t="shared" si="11"/>
        <v>111</v>
      </c>
      <c r="R45" s="664" t="s">
        <v>14</v>
      </c>
      <c r="S45" s="665">
        <f t="shared" si="12"/>
        <v>100</v>
      </c>
      <c r="T45" s="664" t="s">
        <v>14</v>
      </c>
      <c r="U45" s="665">
        <f t="shared" si="13"/>
        <v>100</v>
      </c>
      <c r="V45" s="664" t="s">
        <v>14</v>
      </c>
      <c r="W45" s="665">
        <f t="shared" si="14"/>
        <v>100</v>
      </c>
      <c r="X45" s="666"/>
      <c r="Y45" s="346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67"/>
      <c r="Q46" s="1262">
        <f t="shared" si="11"/>
        <v>111</v>
      </c>
      <c r="R46" s="667" t="s">
        <v>14</v>
      </c>
      <c r="S46" s="668">
        <f t="shared" si="12"/>
        <v>100</v>
      </c>
      <c r="T46" s="667" t="s">
        <v>14</v>
      </c>
      <c r="U46" s="668">
        <f t="shared" si="13"/>
        <v>100</v>
      </c>
      <c r="V46" s="667" t="s">
        <v>14</v>
      </c>
      <c r="W46" s="668">
        <f t="shared" si="14"/>
        <v>100</v>
      </c>
      <c r="X46" s="1264"/>
      <c r="Y46" s="3469"/>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68"/>
      <c r="Q47" s="1262">
        <f t="shared" si="11"/>
        <v>111</v>
      </c>
      <c r="R47" s="667" t="s">
        <v>14</v>
      </c>
      <c r="S47" s="668">
        <f t="shared" si="12"/>
        <v>100</v>
      </c>
      <c r="T47" s="667" t="s">
        <v>14</v>
      </c>
      <c r="U47" s="668">
        <f t="shared" si="13"/>
        <v>100</v>
      </c>
      <c r="V47" s="667" t="s">
        <v>14</v>
      </c>
      <c r="W47" s="668">
        <f t="shared" si="14"/>
        <v>100</v>
      </c>
      <c r="X47" s="1264"/>
      <c r="Y47" s="3470"/>
      <c r="Z47" s="1263">
        <f t="shared" si="15"/>
        <v>111</v>
      </c>
      <c r="AA47" s="1263">
        <f t="shared" si="3"/>
        <v>1</v>
      </c>
      <c r="AB47" s="1263">
        <f t="shared" si="4"/>
        <v>1</v>
      </c>
      <c r="AC47" s="1808">
        <f t="shared" si="5"/>
        <v>1</v>
      </c>
    </row>
    <row r="48" spans="1:29" ht="15">
      <c r="A48" s="416" t="s">
        <v>1702</v>
      </c>
      <c r="B48" s="417"/>
      <c r="C48" s="1081" t="s">
        <v>0</v>
      </c>
      <c r="D48" s="418"/>
      <c r="E48" s="419"/>
      <c r="F48" s="420"/>
      <c r="G48" s="421"/>
      <c r="H48" s="422"/>
      <c r="I48" s="419"/>
      <c r="J48" s="422"/>
      <c r="K48" s="674"/>
      <c r="L48" s="2489"/>
      <c r="M48" s="2482"/>
      <c r="N48" s="2482"/>
      <c r="O48" s="2482"/>
      <c r="P48" s="3473" t="str">
        <f>A48</f>
        <v>成交单价（元/平方米）</v>
      </c>
      <c r="Q48" s="3462"/>
      <c r="R48" s="3463">
        <f>E48</f>
        <v>0</v>
      </c>
      <c r="S48" s="3463"/>
      <c r="T48" s="3463">
        <f>G48</f>
        <v>0</v>
      </c>
      <c r="U48" s="3463"/>
      <c r="V48" s="3463">
        <f>I48</f>
        <v>0</v>
      </c>
      <c r="W48" s="3463"/>
      <c r="X48" s="385"/>
      <c r="Y48" s="673"/>
      <c r="Z48" s="385"/>
      <c r="AA48" s="385"/>
      <c r="AB48" s="385"/>
      <c r="AC48" s="555"/>
    </row>
    <row r="49" spans="1:29" ht="15.75" thickBot="1">
      <c r="A49" s="423" t="s">
        <v>1787</v>
      </c>
      <c r="B49" s="424"/>
      <c r="C49" s="1082" t="e">
        <f>R50</f>
        <v>#DIV/0!</v>
      </c>
      <c r="D49" s="2137" t="s">
        <v>2132</v>
      </c>
      <c r="E49" s="1083" t="e">
        <f>R49</f>
        <v>#DIV/0!</v>
      </c>
      <c r="F49" s="2138"/>
      <c r="G49" s="1082" t="e">
        <f>T49</f>
        <v>#DIV/0!</v>
      </c>
      <c r="H49" s="2138"/>
      <c r="I49" s="1083" t="e">
        <f>V49</f>
        <v>#DIV/0!</v>
      </c>
      <c r="J49" s="2138"/>
      <c r="K49" s="2140">
        <f>F49+H49+J49</f>
        <v>0</v>
      </c>
      <c r="L49" s="2489"/>
      <c r="M49" s="2482"/>
      <c r="N49" s="2482"/>
      <c r="O49" s="2482"/>
      <c r="P49" s="3473"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385"/>
      <c r="Y49" s="385"/>
      <c r="Z49" s="385"/>
      <c r="AA49" s="385"/>
      <c r="AB49" s="385"/>
      <c r="AC49" s="555"/>
    </row>
    <row r="50" spans="1:29" ht="15.75" thickBot="1">
      <c r="A50" s="427" t="s">
        <v>1788</v>
      </c>
      <c r="B50" s="428"/>
      <c r="C50" s="351" t="e">
        <f>R50</f>
        <v>#DIV/0!</v>
      </c>
      <c r="D50" s="351"/>
      <c r="E50" s="351"/>
      <c r="F50" s="351"/>
      <c r="G50" s="351"/>
      <c r="H50" s="351"/>
      <c r="I50" s="351"/>
      <c r="J50" s="429"/>
      <c r="K50" s="675"/>
      <c r="L50" s="2489"/>
      <c r="M50" s="2482"/>
      <c r="N50" s="2482"/>
      <c r="O50" s="2482"/>
      <c r="P50" s="3539" t="str">
        <f>A50</f>
        <v>估价对象XX用房的比较价值（楼面单价，元/平方米）</v>
      </c>
      <c r="Q50" s="3540"/>
      <c r="R50" s="3541" t="e">
        <f>IF(F1="售价",ROUND(IF(D49="简单平均",AVERAGE(R49:V49),R49*F49+T49*H49+V49*J49),0),ROUND(IF(D49="简单平均",AVERAGE(R49:V49),R49*F49+T49*H49+V49*J49),1))</f>
        <v>#DIV/0!</v>
      </c>
      <c r="S50" s="3541"/>
      <c r="T50" s="3541"/>
      <c r="U50" s="3541"/>
      <c r="V50" s="3541"/>
      <c r="W50" s="3541"/>
      <c r="X50" s="1794"/>
      <c r="Y50" s="1794"/>
      <c r="Z50" s="1794"/>
      <c r="AA50" s="1794"/>
      <c r="AB50" s="1794"/>
      <c r="AC50" s="1795"/>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1789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8" t="s">
        <v>1792</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5">
      <c r="A59" s="440" t="s">
        <v>1673</v>
      </c>
      <c r="B59" s="441"/>
      <c r="C59" s="1102" t="str">
        <f>YEAR(C7)&amp;"-"&amp;MONTH(C7)</f>
        <v>2023-12</v>
      </c>
      <c r="D59" s="1103">
        <f>EDATE(C59,-1)</f>
        <v>45231</v>
      </c>
      <c r="E59" s="1103">
        <f>EDATE(D59,-1)</f>
        <v>45200</v>
      </c>
      <c r="F59" s="1103">
        <f t="shared" ref="F59:O59" si="16">EDATE(E59,-1)</f>
        <v>45170</v>
      </c>
      <c r="G59" s="1103">
        <f t="shared" si="16"/>
        <v>45139</v>
      </c>
      <c r="H59" s="1103">
        <f t="shared" si="16"/>
        <v>45108</v>
      </c>
      <c r="I59" s="1103">
        <f t="shared" si="16"/>
        <v>45078</v>
      </c>
      <c r="J59" s="1103">
        <f t="shared" si="16"/>
        <v>45047</v>
      </c>
      <c r="K59" s="1103">
        <f t="shared" si="16"/>
        <v>45017</v>
      </c>
      <c r="L59" s="1103">
        <f t="shared" si="16"/>
        <v>44986</v>
      </c>
      <c r="M59" s="1103">
        <f t="shared" si="16"/>
        <v>44958</v>
      </c>
      <c r="N59" s="1103">
        <f t="shared" si="16"/>
        <v>44927</v>
      </c>
      <c r="O59" s="1103">
        <f t="shared" si="16"/>
        <v>44896</v>
      </c>
      <c r="P59" s="2522"/>
      <c r="Q59" s="2505"/>
      <c r="R59" s="2505"/>
      <c r="S59" s="2505"/>
      <c r="T59" s="2505"/>
      <c r="U59" s="2505"/>
      <c r="V59" s="2505"/>
      <c r="W59" s="2505"/>
      <c r="X59" s="2505"/>
      <c r="Y59" s="2505"/>
      <c r="Z59" s="2505"/>
      <c r="AA59" s="2505"/>
      <c r="AB59" s="2505"/>
      <c r="AC59" s="2505"/>
    </row>
    <row r="60" spans="1:29" s="102" customFormat="1" ht="15">
      <c r="A60" s="443"/>
      <c r="B60" s="444"/>
      <c r="C60" s="1101">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75" thickBot="1">
      <c r="A61" s="449" t="s">
        <v>1710</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5">
      <c r="A62" s="455" t="s">
        <v>1675</v>
      </c>
      <c r="B62" s="444"/>
      <c r="C62" s="456" t="s">
        <v>1770</v>
      </c>
      <c r="D62" s="31"/>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c r="A64" s="379" t="s">
        <v>1713</v>
      </c>
      <c r="B64" s="460" t="s">
        <v>1679</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1682</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1684</v>
      </c>
      <c r="B77" s="460" t="s">
        <v>1815</v>
      </c>
      <c r="C77" s="504" t="s">
        <v>1715</v>
      </c>
      <c r="D77" s="504" t="s">
        <v>1716</v>
      </c>
      <c r="E77" s="504" t="s">
        <v>1717</v>
      </c>
      <c r="F77" s="504" t="s">
        <v>1718</v>
      </c>
      <c r="G77" s="504" t="s">
        <v>1719</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1720</v>
      </c>
      <c r="C79" s="509" t="s">
        <v>1715</v>
      </c>
      <c r="D79" s="509" t="s">
        <v>1716</v>
      </c>
      <c r="E79" s="509" t="s">
        <v>1717</v>
      </c>
      <c r="F79" s="509" t="s">
        <v>1718</v>
      </c>
      <c r="G79" s="509" t="s">
        <v>1719</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1721</v>
      </c>
      <c r="C81" s="509" t="s">
        <v>1715</v>
      </c>
      <c r="D81" s="509" t="s">
        <v>1716</v>
      </c>
      <c r="E81" s="509" t="s">
        <v>1717</v>
      </c>
      <c r="F81" s="509" t="s">
        <v>1718</v>
      </c>
      <c r="G81" s="509" t="s">
        <v>1719</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1807</v>
      </c>
      <c r="C83" s="581" t="s">
        <v>1793</v>
      </c>
      <c r="D83" s="581" t="s">
        <v>1794</v>
      </c>
      <c r="E83" s="581" t="s">
        <v>1795</v>
      </c>
      <c r="F83" s="581" t="s">
        <v>1796</v>
      </c>
      <c r="G83" s="581" t="s">
        <v>1797</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1816</v>
      </c>
      <c r="C85" s="509" t="s">
        <v>1715</v>
      </c>
      <c r="D85" s="509" t="s">
        <v>1716</v>
      </c>
      <c r="E85" s="509" t="s">
        <v>1717</v>
      </c>
      <c r="F85" s="509" t="s">
        <v>1718</v>
      </c>
      <c r="G85" s="509" t="s">
        <v>1719</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1817</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1688</v>
      </c>
      <c r="B101" s="460" t="s">
        <v>1730</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7"/>
      <c r="B103" s="469" t="s">
        <v>1731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1732</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1734</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1818</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1735</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1736</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1819</v>
      </c>
      <c r="C119" s="513"/>
      <c r="D119" s="513"/>
      <c r="E119" s="513"/>
      <c r="F119" s="513"/>
      <c r="G119" s="513"/>
      <c r="H119" s="513"/>
      <c r="I119" s="513"/>
      <c r="J119" s="513"/>
      <c r="K119" s="513"/>
      <c r="L119" s="1812"/>
      <c r="M119" s="1813"/>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1802</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1738</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1739</v>
      </c>
      <c r="C125" s="509" t="s">
        <v>1715</v>
      </c>
      <c r="D125" s="509" t="s">
        <v>1716</v>
      </c>
      <c r="E125" s="509" t="s">
        <v>1717</v>
      </c>
      <c r="F125" s="509" t="s">
        <v>1718</v>
      </c>
      <c r="G125" s="509" t="s">
        <v>1719</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F7:F47 H7:H47 J7:J47">
    <cfRule type="cellIs" dxfId="97" priority="1" operator="notEqual">
      <formula>100</formula>
    </cfRule>
  </conditionalFormatting>
  <conditionalFormatting sqref="F49">
    <cfRule type="expression" dxfId="96" priority="4">
      <formula>$D$49="简单平均"</formula>
    </cfRule>
  </conditionalFormatting>
  <conditionalFormatting sqref="F53:F55 H53:H55">
    <cfRule type="containsText" dxfId="95" priority="17" stopIfTrue="1" operator="containsText" text="超过">
      <formula>NOT(ISERROR(SEARCH("超过",F53)))</formula>
    </cfRule>
  </conditionalFormatting>
  <conditionalFormatting sqref="G53">
    <cfRule type="expression" dxfId="94" priority="12" stopIfTrue="1">
      <formula>$H$53="超过30%"</formula>
    </cfRule>
  </conditionalFormatting>
  <conditionalFormatting sqref="G54">
    <cfRule type="expression" dxfId="93" priority="11" stopIfTrue="1">
      <formula>$H$54="超过20%"</formula>
    </cfRule>
  </conditionalFormatting>
  <conditionalFormatting sqref="G55">
    <cfRule type="expression" dxfId="92" priority="13" stopIfTrue="1">
      <formula>$H$55="超过30%"</formula>
    </cfRule>
  </conditionalFormatting>
  <conditionalFormatting sqref="H49">
    <cfRule type="expression" dxfId="91" priority="3">
      <formula>$D$49="简单平均"</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J49">
    <cfRule type="expression" dxfId="87" priority="2">
      <formula>$D$49="简单平均"</formula>
    </cfRule>
  </conditionalFormatting>
  <conditionalFormatting sqref="J53:J55">
    <cfRule type="containsText" dxfId="8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804" t="s">
        <v>1820</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1458</v>
      </c>
      <c r="B3" s="536">
        <f>IF(C2="——",C43,ROUND(B2*10000/D3,0))</f>
        <v>0</v>
      </c>
      <c r="C3" s="344" t="s">
        <v>1762</v>
      </c>
      <c r="D3" s="343">
        <f>IF(D1="",'数据-汇总表'!E3,SUMIF('数据-汇总表'!$C19:$C33,D1,'数据-汇总表'!$E19:$E33))</f>
        <v>86196.960000000021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1763</v>
      </c>
      <c r="B4" s="346"/>
      <c r="C4" s="3477" t="s">
        <v>1764</v>
      </c>
      <c r="D4" s="3478"/>
      <c r="E4" s="3479" t="s">
        <v>1765</v>
      </c>
      <c r="F4" s="3480"/>
      <c r="G4" s="3477" t="s">
        <v>1766</v>
      </c>
      <c r="H4" s="3478"/>
      <c r="I4" s="3477" t="s">
        <v>1767</v>
      </c>
      <c r="J4" s="3478"/>
      <c r="K4" s="537" t="s">
        <v>1768</v>
      </c>
      <c r="L4" s="860"/>
      <c r="M4" s="861"/>
      <c r="N4" s="861"/>
      <c r="O4" s="861"/>
      <c r="P4" s="3481" t="s">
        <v>1769</v>
      </c>
      <c r="Q4" s="3482"/>
      <c r="R4" s="3487" t="s">
        <v>1765</v>
      </c>
      <c r="S4" s="3488"/>
      <c r="T4" s="3487" t="s">
        <v>1766</v>
      </c>
      <c r="U4" s="3488"/>
      <c r="V4" s="3463" t="s">
        <v>1767</v>
      </c>
      <c r="W4" s="3463"/>
      <c r="X4" s="1264"/>
      <c r="Y4" s="3487" t="s">
        <v>1769</v>
      </c>
      <c r="Z4" s="3488"/>
      <c r="AA4" s="3474" t="s">
        <v>1765</v>
      </c>
      <c r="AB4" s="3475" t="s">
        <v>1766</v>
      </c>
      <c r="AC4" s="3474" t="s">
        <v>1767</v>
      </c>
    </row>
    <row r="5" spans="1:29" ht="15">
      <c r="A5" s="348"/>
      <c r="B5" s="349"/>
      <c r="C5" s="3511" t="s">
        <v>1667</v>
      </c>
      <c r="D5" s="3496"/>
      <c r="E5" s="3512" t="s">
        <v>1668</v>
      </c>
      <c r="F5" s="3503"/>
      <c r="G5" s="3511" t="s">
        <v>1669</v>
      </c>
      <c r="H5" s="3496"/>
      <c r="I5" s="3511" t="s">
        <v>1670</v>
      </c>
      <c r="J5" s="3496"/>
      <c r="K5" s="537"/>
      <c r="L5" s="860"/>
      <c r="M5" s="861"/>
      <c r="N5" s="861"/>
      <c r="O5" s="861"/>
      <c r="P5" s="3483"/>
      <c r="Q5" s="3484"/>
      <c r="R5" s="3489"/>
      <c r="S5" s="3490"/>
      <c r="T5" s="3489"/>
      <c r="U5" s="3490"/>
      <c r="V5" s="3463"/>
      <c r="W5" s="3463"/>
      <c r="X5" s="1264"/>
      <c r="Y5" s="3489"/>
      <c r="Z5" s="3490"/>
      <c r="AA5" s="3475"/>
      <c r="AB5" s="3475"/>
      <c r="AC5" s="3475"/>
    </row>
    <row r="6" spans="1:29" ht="15.75" thickBot="1">
      <c r="A6" s="350"/>
      <c r="B6" s="351"/>
      <c r="C6" s="3493" t="s">
        <v>1671</v>
      </c>
      <c r="D6" s="3494"/>
      <c r="E6" s="3500" t="s">
        <v>1671</v>
      </c>
      <c r="F6" s="3501"/>
      <c r="G6" s="3493" t="s">
        <v>1671</v>
      </c>
      <c r="H6" s="3494"/>
      <c r="I6" s="3493" t="s">
        <v>1671</v>
      </c>
      <c r="J6" s="3494"/>
      <c r="K6" s="537" t="s">
        <v>1672</v>
      </c>
      <c r="L6" s="860"/>
      <c r="M6" s="861"/>
      <c r="N6" s="861"/>
      <c r="O6" s="861"/>
      <c r="P6" s="3485"/>
      <c r="Q6" s="3486"/>
      <c r="R6" s="3489"/>
      <c r="S6" s="3490"/>
      <c r="T6" s="3491"/>
      <c r="U6" s="3492"/>
      <c r="V6" s="3463"/>
      <c r="W6" s="3463"/>
      <c r="X6" s="1264"/>
      <c r="Y6" s="3491"/>
      <c r="Z6" s="3492"/>
      <c r="AA6" s="3476"/>
      <c r="AB6" s="3476"/>
      <c r="AC6" s="3476"/>
    </row>
    <row r="7" spans="1:29" s="102" customFormat="1" ht="15.75" thickBot="1">
      <c r="A7" s="352" t="s">
        <v>1673</v>
      </c>
      <c r="B7" s="353"/>
      <c r="C7" s="354">
        <f>'数据-取费表'!B2</f>
        <v>45291</v>
      </c>
      <c r="D7" s="355">
        <v>100</v>
      </c>
      <c r="E7" s="356"/>
      <c r="F7" s="357">
        <f>SUMIF(52:52,YEAR(E7)&amp;"-"&amp;MONTH(E7),53:53)</f>
        <v>0</v>
      </c>
      <c r="G7" s="356"/>
      <c r="H7" s="355">
        <f>SUMIF(52:52,YEAR(G7)&amp;"-"&amp;MONTH(G7),53:53)</f>
        <v>0</v>
      </c>
      <c r="I7" s="356"/>
      <c r="J7" s="355">
        <f>SUMIF(52:52,YEAR(I7)&amp;"-"&amp;MONTH(I7),53:53)</f>
        <v>0</v>
      </c>
      <c r="K7" s="38"/>
      <c r="L7" s="862"/>
      <c r="M7" s="863"/>
      <c r="N7" s="863"/>
      <c r="O7" s="863"/>
      <c r="P7" s="3497" t="s">
        <v>1674</v>
      </c>
      <c r="Q7" s="3499"/>
      <c r="R7" s="664" t="s">
        <v>14</v>
      </c>
      <c r="S7" s="665">
        <f t="shared" ref="S7:S15" si="0">F7</f>
        <v>0</v>
      </c>
      <c r="T7" s="664" t="s">
        <v>14</v>
      </c>
      <c r="U7" s="665">
        <f t="shared" ref="U7:U15" si="1">H7</f>
        <v>0</v>
      </c>
      <c r="V7" s="664" t="s">
        <v>14</v>
      </c>
      <c r="W7" s="665">
        <f t="shared" ref="W7:W15" si="2">J7</f>
        <v>0</v>
      </c>
      <c r="X7" s="666"/>
      <c r="Y7" s="3497" t="s">
        <v>1674</v>
      </c>
      <c r="Z7" s="3498"/>
      <c r="AA7" s="50" t="e">
        <f>D7/F7</f>
        <v>#DIV/0!</v>
      </c>
      <c r="AB7" s="50" t="e">
        <f>D7/H7</f>
        <v>#DIV/0!</v>
      </c>
      <c r="AC7" s="50" t="e">
        <f>D7/J7</f>
        <v>#DIV/0!</v>
      </c>
    </row>
    <row r="8" spans="1:29" s="102" customFormat="1" ht="15.75" thickBot="1">
      <c r="A8" s="352" t="s">
        <v>1675</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7" t="s">
        <v>1677</v>
      </c>
      <c r="Q8" s="3498"/>
      <c r="R8" s="664" t="s">
        <v>14</v>
      </c>
      <c r="S8" s="665">
        <f t="shared" si="0"/>
        <v>100</v>
      </c>
      <c r="T8" s="664" t="s">
        <v>14</v>
      </c>
      <c r="U8" s="665">
        <f t="shared" si="1"/>
        <v>100</v>
      </c>
      <c r="V8" s="664" t="s">
        <v>14</v>
      </c>
      <c r="W8" s="665">
        <f t="shared" si="2"/>
        <v>100</v>
      </c>
      <c r="X8" s="666"/>
      <c r="Y8" s="3497" t="s">
        <v>1677</v>
      </c>
      <c r="Z8" s="3498"/>
      <c r="AA8" s="50">
        <f t="shared" ref="AA8:AA40" si="3">D8/F8</f>
        <v>1</v>
      </c>
      <c r="AB8" s="50">
        <f t="shared" ref="AB8:AB40" si="4">D8/H8</f>
        <v>1</v>
      </c>
      <c r="AC8" s="50">
        <f t="shared" ref="AC8:AC40" si="5">D8/J8</f>
        <v>1</v>
      </c>
    </row>
    <row r="9" spans="1:29" s="102" customFormat="1">
      <c r="A9" s="359" t="s">
        <v>1678</v>
      </c>
      <c r="B9" s="60" t="s">
        <v>1679</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2" t="s">
        <v>1680</v>
      </c>
      <c r="Q9" s="530" t="str">
        <f t="shared" ref="Q9:Q15" si="6">B9</f>
        <v>用途</v>
      </c>
      <c r="R9" s="664" t="s">
        <v>14</v>
      </c>
      <c r="S9" s="665">
        <f t="shared" si="0"/>
        <v>100</v>
      </c>
      <c r="T9" s="664" t="s">
        <v>14</v>
      </c>
      <c r="U9" s="665">
        <f t="shared" si="1"/>
        <v>100</v>
      </c>
      <c r="V9" s="664" t="s">
        <v>14</v>
      </c>
      <c r="W9" s="665">
        <f t="shared" si="2"/>
        <v>100</v>
      </c>
      <c r="X9" s="666"/>
      <c r="Y9" s="3366"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462"/>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2"/>
      <c r="Q11" s="530" t="str">
        <f t="shared" si="6"/>
        <v>容积率</v>
      </c>
      <c r="R11" s="664" t="s">
        <v>14</v>
      </c>
      <c r="S11" s="665">
        <f t="shared" si="0"/>
        <v>100</v>
      </c>
      <c r="T11" s="664" t="s">
        <v>14</v>
      </c>
      <c r="U11" s="665">
        <f t="shared" si="1"/>
        <v>100</v>
      </c>
      <c r="V11" s="664" t="s">
        <v>14</v>
      </c>
      <c r="W11" s="665">
        <f t="shared" si="2"/>
        <v>100</v>
      </c>
      <c r="X11" s="666"/>
      <c r="Y11" s="33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62"/>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62"/>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62"/>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57">
      <c r="A15" s="379" t="s">
        <v>1684</v>
      </c>
      <c r="B15" s="58" t="s">
        <v>1821</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4" t="s">
        <v>1685</v>
      </c>
      <c r="Q15" s="1262" t="str">
        <f t="shared" si="6"/>
        <v>产业集聚程度</v>
      </c>
      <c r="R15" s="667" t="s">
        <v>14</v>
      </c>
      <c r="S15" s="668">
        <f t="shared" si="0"/>
        <v>100</v>
      </c>
      <c r="T15" s="667" t="s">
        <v>14</v>
      </c>
      <c r="U15" s="668">
        <f t="shared" si="1"/>
        <v>100</v>
      </c>
      <c r="V15" s="667" t="s">
        <v>14</v>
      </c>
      <c r="W15" s="668">
        <f t="shared" si="2"/>
        <v>100</v>
      </c>
      <c r="X15" s="1264"/>
      <c r="Y15" s="3464" t="s">
        <v>1685</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65"/>
      <c r="Q16" s="1262"/>
      <c r="R16" s="667"/>
      <c r="S16" s="668"/>
      <c r="T16" s="667"/>
      <c r="U16" s="668"/>
      <c r="V16" s="667"/>
      <c r="W16" s="668"/>
      <c r="X16" s="1264"/>
      <c r="Y16" s="3465"/>
      <c r="Z16" s="1263"/>
      <c r="AA16" s="1263">
        <v>1</v>
      </c>
      <c r="AB16" s="1263">
        <v>1</v>
      </c>
      <c r="AC16" s="1263">
        <v>1</v>
      </c>
    </row>
    <row r="17" spans="1:29" ht="85.5">
      <c r="A17" s="367"/>
      <c r="B17" s="390" t="s">
        <v>1253</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5"/>
      <c r="Q17" s="1262" t="str">
        <f>B17</f>
        <v>交通便捷度</v>
      </c>
      <c r="R17" s="667" t="s">
        <v>14</v>
      </c>
      <c r="S17" s="668">
        <f>F17</f>
        <v>100</v>
      </c>
      <c r="T17" s="667" t="s">
        <v>14</v>
      </c>
      <c r="U17" s="668">
        <f>H17</f>
        <v>100</v>
      </c>
      <c r="V17" s="667" t="s">
        <v>14</v>
      </c>
      <c r="W17" s="668">
        <f>J17</f>
        <v>100</v>
      </c>
      <c r="X17" s="1264"/>
      <c r="Y17" s="3465"/>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65"/>
      <c r="Q18" s="1262"/>
      <c r="R18" s="667"/>
      <c r="S18" s="668"/>
      <c r="T18" s="667"/>
      <c r="U18" s="668"/>
      <c r="V18" s="667"/>
      <c r="W18" s="668"/>
      <c r="X18" s="1264"/>
      <c r="Y18" s="3465"/>
      <c r="Z18" s="1263"/>
      <c r="AA18" s="1263">
        <v>1</v>
      </c>
      <c r="AB18" s="1263">
        <v>1</v>
      </c>
      <c r="AC18" s="1263">
        <v>1</v>
      </c>
    </row>
    <row r="19" spans="1:29" ht="42.75">
      <c r="A19" s="367"/>
      <c r="B19" s="390" t="s">
        <v>1806</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5"/>
      <c r="Q19" s="1262" t="str">
        <f>B19</f>
        <v>公共配套设施</v>
      </c>
      <c r="R19" s="667" t="s">
        <v>14</v>
      </c>
      <c r="S19" s="668">
        <f>F19</f>
        <v>100</v>
      </c>
      <c r="T19" s="667" t="s">
        <v>14</v>
      </c>
      <c r="U19" s="668">
        <f>H19</f>
        <v>100</v>
      </c>
      <c r="V19" s="667" t="s">
        <v>14</v>
      </c>
      <c r="W19" s="668">
        <f>J19</f>
        <v>100</v>
      </c>
      <c r="X19" s="1264"/>
      <c r="Y19" s="3465"/>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65"/>
      <c r="Q20" s="1262"/>
      <c r="R20" s="667"/>
      <c r="S20" s="668"/>
      <c r="T20" s="667"/>
      <c r="U20" s="668"/>
      <c r="V20" s="667"/>
      <c r="W20" s="668"/>
      <c r="X20" s="1264"/>
      <c r="Y20" s="3465"/>
      <c r="Z20" s="1263"/>
      <c r="AA20" s="1263">
        <v>1</v>
      </c>
      <c r="AB20" s="1263">
        <v>1</v>
      </c>
      <c r="AC20" s="1263">
        <v>1</v>
      </c>
    </row>
    <row r="21" spans="1:29" ht="28.5">
      <c r="A21" s="367"/>
      <c r="B21" s="586" t="s">
        <v>1807</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5"/>
      <c r="Q21" s="1262" t="str">
        <f>B21</f>
        <v>基础设施水平</v>
      </c>
      <c r="R21" s="667" t="s">
        <v>14</v>
      </c>
      <c r="S21" s="668">
        <f>F21</f>
        <v>100</v>
      </c>
      <c r="T21" s="667" t="s">
        <v>14</v>
      </c>
      <c r="U21" s="668">
        <f>H21</f>
        <v>100</v>
      </c>
      <c r="V21" s="667" t="s">
        <v>14</v>
      </c>
      <c r="W21" s="668">
        <f>J21</f>
        <v>100</v>
      </c>
      <c r="X21" s="1264"/>
      <c r="Y21" s="3465"/>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465"/>
      <c r="Q22" s="1262"/>
      <c r="R22" s="667"/>
      <c r="S22" s="668"/>
      <c r="T22" s="667"/>
      <c r="U22" s="668"/>
      <c r="V22" s="667"/>
      <c r="W22" s="668"/>
      <c r="X22" s="1264"/>
      <c r="Y22" s="3465"/>
      <c r="Z22" s="1263"/>
      <c r="AA22" s="1263">
        <v>1</v>
      </c>
      <c r="AB22" s="1263">
        <v>1</v>
      </c>
      <c r="AC22" s="1263">
        <v>1</v>
      </c>
    </row>
    <row r="23" spans="1:29" ht="71.25">
      <c r="A23" s="367"/>
      <c r="B23" s="390" t="s">
        <v>1808</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5"/>
      <c r="Q23" s="1262" t="str">
        <f>B23</f>
        <v>环境质量</v>
      </c>
      <c r="R23" s="667" t="s">
        <v>14</v>
      </c>
      <c r="S23" s="668">
        <f>F23</f>
        <v>100</v>
      </c>
      <c r="T23" s="667" t="s">
        <v>14</v>
      </c>
      <c r="U23" s="668">
        <f>H23</f>
        <v>100</v>
      </c>
      <c r="V23" s="667" t="s">
        <v>14</v>
      </c>
      <c r="W23" s="668">
        <f>J23</f>
        <v>100</v>
      </c>
      <c r="X23" s="1264"/>
      <c r="Y23" s="3465"/>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65"/>
      <c r="Q24" s="1262"/>
      <c r="R24" s="667"/>
      <c r="S24" s="668"/>
      <c r="T24" s="667"/>
      <c r="U24" s="668"/>
      <c r="V24" s="667"/>
      <c r="W24" s="668"/>
      <c r="X24" s="1264"/>
      <c r="Y24" s="346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5"/>
      <c r="Q25" s="1262">
        <f>B25</f>
        <v>111</v>
      </c>
      <c r="R25" s="667" t="s">
        <v>14</v>
      </c>
      <c r="S25" s="668">
        <f>F25</f>
        <v>100</v>
      </c>
      <c r="T25" s="667" t="s">
        <v>14</v>
      </c>
      <c r="U25" s="668">
        <f>H25</f>
        <v>100</v>
      </c>
      <c r="V25" s="667" t="s">
        <v>14</v>
      </c>
      <c r="W25" s="668">
        <f>J25</f>
        <v>100</v>
      </c>
      <c r="X25" s="1264"/>
      <c r="Y25" s="346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5"/>
      <c r="Q26" s="1262">
        <f t="shared" ref="Q26:Q40" si="11">B26</f>
        <v>111</v>
      </c>
      <c r="R26" s="667" t="s">
        <v>14</v>
      </c>
      <c r="S26" s="668">
        <f>F26</f>
        <v>100</v>
      </c>
      <c r="T26" s="667" t="s">
        <v>14</v>
      </c>
      <c r="U26" s="668">
        <f>H26</f>
        <v>100</v>
      </c>
      <c r="V26" s="667" t="s">
        <v>14</v>
      </c>
      <c r="W26" s="668">
        <f>J26</f>
        <v>100</v>
      </c>
      <c r="X26" s="1264"/>
      <c r="Y26" s="346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5"/>
      <c r="Q27" s="530">
        <f t="shared" si="11"/>
        <v>111</v>
      </c>
      <c r="R27" s="664" t="s">
        <v>14</v>
      </c>
      <c r="S27" s="665">
        <f>F27</f>
        <v>100</v>
      </c>
      <c r="T27" s="664" t="s">
        <v>14</v>
      </c>
      <c r="U27" s="665">
        <f>H27</f>
        <v>100</v>
      </c>
      <c r="V27" s="664" t="s">
        <v>14</v>
      </c>
      <c r="W27" s="665">
        <f>J27</f>
        <v>100</v>
      </c>
      <c r="X27" s="666"/>
      <c r="Y27" s="3465"/>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5"/>
      <c r="Q28" s="1262">
        <f t="shared" si="11"/>
        <v>111</v>
      </c>
      <c r="R28" s="667" t="s">
        <v>14</v>
      </c>
      <c r="S28" s="668">
        <f t="shared" ref="S28:S40" si="12">F28</f>
        <v>100</v>
      </c>
      <c r="T28" s="667" t="s">
        <v>14</v>
      </c>
      <c r="U28" s="668">
        <f t="shared" ref="U28:U40" si="13">H28</f>
        <v>100</v>
      </c>
      <c r="V28" s="667" t="s">
        <v>14</v>
      </c>
      <c r="W28" s="668">
        <f t="shared" ref="W28:W40" si="14">J28</f>
        <v>100</v>
      </c>
      <c r="X28" s="1264"/>
      <c r="Y28" s="3465"/>
      <c r="Z28" s="1263">
        <f t="shared" ref="Z28:Z40" si="15">Q28</f>
        <v>111</v>
      </c>
      <c r="AA28" s="1263">
        <f t="shared" si="3"/>
        <v>1</v>
      </c>
      <c r="AB28" s="1263">
        <f t="shared" si="4"/>
        <v>1</v>
      </c>
      <c r="AC28" s="1263">
        <f t="shared" si="5"/>
        <v>1</v>
      </c>
    </row>
    <row r="29" spans="1:29" ht="28.5">
      <c r="A29" s="404" t="s">
        <v>1688</v>
      </c>
      <c r="B29" s="60" t="s">
        <v>1811</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510" t="s">
        <v>1690</v>
      </c>
      <c r="Q29" s="1262" t="str">
        <f t="shared" si="11"/>
        <v>建筑类型</v>
      </c>
      <c r="R29" s="667" t="s">
        <v>14</v>
      </c>
      <c r="S29" s="668">
        <f t="shared" si="12"/>
        <v>100</v>
      </c>
      <c r="T29" s="667" t="s">
        <v>14</v>
      </c>
      <c r="U29" s="668">
        <f t="shared" si="13"/>
        <v>100</v>
      </c>
      <c r="V29" s="667" t="s">
        <v>14</v>
      </c>
      <c r="W29" s="668">
        <f t="shared" si="14"/>
        <v>100</v>
      </c>
      <c r="X29" s="1264"/>
      <c r="Y29" s="3469" t="s">
        <v>1690</v>
      </c>
      <c r="Z29" s="1263" t="str">
        <f t="shared" si="15"/>
        <v>建筑类型</v>
      </c>
      <c r="AA29" s="1263">
        <f t="shared" si="3"/>
        <v>1</v>
      </c>
      <c r="AB29" s="1263">
        <f t="shared" si="4"/>
        <v>1</v>
      </c>
      <c r="AC29" s="1263">
        <f t="shared" si="5"/>
        <v>1</v>
      </c>
    </row>
    <row r="30" spans="1:29" s="408" customFormat="1" ht="15">
      <c r="A30" s="406"/>
      <c r="B30" s="364" t="s">
        <v>1691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69"/>
      <c r="Q30" s="531" t="str">
        <f t="shared" si="11"/>
        <v>项目建筑规模</v>
      </c>
      <c r="R30" s="669" t="s">
        <v>14</v>
      </c>
      <c r="S30" s="670" t="e">
        <f t="shared" si="12"/>
        <v>#N/A</v>
      </c>
      <c r="T30" s="669" t="s">
        <v>14</v>
      </c>
      <c r="U30" s="670" t="e">
        <f t="shared" si="13"/>
        <v>#N/A</v>
      </c>
      <c r="V30" s="669" t="s">
        <v>14</v>
      </c>
      <c r="W30" s="670" t="e">
        <f t="shared" si="14"/>
        <v>#N/A</v>
      </c>
      <c r="X30" s="671"/>
      <c r="Y30" s="3469"/>
      <c r="Z30" s="672" t="str">
        <f t="shared" si="15"/>
        <v>项目建筑规模</v>
      </c>
      <c r="AA30" s="1263" t="e">
        <f t="shared" si="3"/>
        <v>#N/A</v>
      </c>
      <c r="AB30" s="1263" t="e">
        <f t="shared" si="4"/>
        <v>#N/A</v>
      </c>
      <c r="AC30" s="1263" t="e">
        <f t="shared" si="5"/>
        <v>#N/A</v>
      </c>
    </row>
    <row r="31" spans="1:29" ht="15">
      <c r="A31" s="409"/>
      <c r="B31" s="364" t="s">
        <v>1692</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69"/>
      <c r="Q31" s="1262" t="str">
        <f t="shared" si="11"/>
        <v>建筑结构</v>
      </c>
      <c r="R31" s="667" t="s">
        <v>14</v>
      </c>
      <c r="S31" s="668">
        <f t="shared" si="12"/>
        <v>100</v>
      </c>
      <c r="T31" s="667" t="s">
        <v>14</v>
      </c>
      <c r="U31" s="668">
        <f t="shared" si="13"/>
        <v>100</v>
      </c>
      <c r="V31" s="667" t="s">
        <v>14</v>
      </c>
      <c r="W31" s="668">
        <f t="shared" si="14"/>
        <v>100</v>
      </c>
      <c r="X31" s="1264"/>
      <c r="Y31" s="3469"/>
      <c r="Z31" s="1263" t="str">
        <f t="shared" si="15"/>
        <v>建筑结构</v>
      </c>
      <c r="AA31" s="1263">
        <f t="shared" si="3"/>
        <v>1</v>
      </c>
      <c r="AB31" s="1263">
        <f t="shared" si="4"/>
        <v>1</v>
      </c>
      <c r="AC31" s="1263">
        <f t="shared" si="5"/>
        <v>1</v>
      </c>
    </row>
    <row r="32" spans="1:29" ht="15">
      <c r="A32" s="409"/>
      <c r="B32" s="364" t="s">
        <v>1779</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69"/>
      <c r="Q32" s="1262" t="str">
        <f t="shared" si="11"/>
        <v>公共部分装修</v>
      </c>
      <c r="R32" s="667" t="s">
        <v>14</v>
      </c>
      <c r="S32" s="668">
        <f t="shared" si="12"/>
        <v>100</v>
      </c>
      <c r="T32" s="667" t="s">
        <v>14</v>
      </c>
      <c r="U32" s="668">
        <f t="shared" si="13"/>
        <v>100</v>
      </c>
      <c r="V32" s="667" t="s">
        <v>14</v>
      </c>
      <c r="W32" s="668">
        <f t="shared" si="14"/>
        <v>100</v>
      </c>
      <c r="X32" s="1264"/>
      <c r="Y32" s="3469"/>
      <c r="Z32" s="1263" t="str">
        <f t="shared" si="15"/>
        <v>公共部分装修</v>
      </c>
      <c r="AA32" s="1263">
        <f t="shared" si="3"/>
        <v>1</v>
      </c>
      <c r="AB32" s="1263">
        <f t="shared" si="4"/>
        <v>1</v>
      </c>
      <c r="AC32" s="1263">
        <f t="shared" si="5"/>
        <v>1</v>
      </c>
    </row>
    <row r="33" spans="1:29" ht="15">
      <c r="A33" s="409"/>
      <c r="B33" s="364" t="s">
        <v>1780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69"/>
      <c r="Q33" s="1262" t="str">
        <f t="shared" si="11"/>
        <v>成新度</v>
      </c>
      <c r="R33" s="667" t="s">
        <v>14</v>
      </c>
      <c r="S33" s="668" t="e">
        <f t="shared" si="12"/>
        <v>#N/A</v>
      </c>
      <c r="T33" s="667" t="s">
        <v>14</v>
      </c>
      <c r="U33" s="668" t="e">
        <f t="shared" si="13"/>
        <v>#N/A</v>
      </c>
      <c r="V33" s="667" t="s">
        <v>14</v>
      </c>
      <c r="W33" s="668" t="e">
        <f t="shared" si="14"/>
        <v>#N/A</v>
      </c>
      <c r="X33" s="1264"/>
      <c r="Y33" s="3469"/>
      <c r="Z33" s="1263" t="str">
        <f t="shared" si="15"/>
        <v>成新度</v>
      </c>
      <c r="AA33" s="1263" t="e">
        <f t="shared" si="3"/>
        <v>#N/A</v>
      </c>
      <c r="AB33" s="1263" t="e">
        <f t="shared" si="4"/>
        <v>#N/A</v>
      </c>
      <c r="AC33" s="1263" t="e">
        <f t="shared" si="5"/>
        <v>#N/A</v>
      </c>
    </row>
    <row r="34" spans="1:29" s="102" customFormat="1" ht="15">
      <c r="A34" s="410"/>
      <c r="B34" s="364" t="s">
        <v>1813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69"/>
      <c r="Q34" s="530" t="str">
        <f t="shared" si="11"/>
        <v>物业管理</v>
      </c>
      <c r="R34" s="664" t="s">
        <v>14</v>
      </c>
      <c r="S34" s="665">
        <f t="shared" si="12"/>
        <v>100</v>
      </c>
      <c r="T34" s="664" t="s">
        <v>14</v>
      </c>
      <c r="U34" s="665">
        <f t="shared" si="13"/>
        <v>100</v>
      </c>
      <c r="V34" s="664" t="s">
        <v>14</v>
      </c>
      <c r="W34" s="665">
        <f t="shared" si="14"/>
        <v>100</v>
      </c>
      <c r="X34" s="666"/>
      <c r="Y34" s="3469"/>
      <c r="Z34" s="50" t="str">
        <f t="shared" si="15"/>
        <v>物业管理</v>
      </c>
      <c r="AA34" s="50">
        <f t="shared" si="3"/>
        <v>1</v>
      </c>
      <c r="AB34" s="50">
        <f t="shared" si="4"/>
        <v>1</v>
      </c>
      <c r="AC34" s="50">
        <f t="shared" si="5"/>
        <v>1</v>
      </c>
    </row>
    <row r="35" spans="1:29" ht="15">
      <c r="A35" s="409"/>
      <c r="B35" s="364" t="s">
        <v>1781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69" t="s">
        <v>1690</v>
      </c>
      <c r="Q35" s="1262" t="str">
        <f t="shared" si="11"/>
        <v>市政基础设施</v>
      </c>
      <c r="R35" s="667" t="s">
        <v>14</v>
      </c>
      <c r="S35" s="668">
        <f t="shared" si="12"/>
        <v>100</v>
      </c>
      <c r="T35" s="667" t="s">
        <v>14</v>
      </c>
      <c r="U35" s="668">
        <f t="shared" si="13"/>
        <v>100</v>
      </c>
      <c r="V35" s="667" t="s">
        <v>14</v>
      </c>
      <c r="W35" s="668">
        <f t="shared" si="14"/>
        <v>100</v>
      </c>
      <c r="X35" s="1264"/>
      <c r="Y35" s="3469" t="s">
        <v>1690</v>
      </c>
      <c r="Z35" s="1263" t="str">
        <f t="shared" si="15"/>
        <v>市政基础设施</v>
      </c>
      <c r="AA35" s="1263">
        <f t="shared" si="3"/>
        <v>1</v>
      </c>
      <c r="AB35" s="1263">
        <f t="shared" si="4"/>
        <v>1</v>
      </c>
      <c r="AC35" s="1263">
        <f t="shared" si="5"/>
        <v>1</v>
      </c>
    </row>
    <row r="36" spans="1:29" ht="15">
      <c r="A36" s="409"/>
      <c r="B36" s="364" t="s">
        <v>1786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69"/>
      <c r="Q36" s="1262" t="str">
        <f t="shared" si="11"/>
        <v>内部装修</v>
      </c>
      <c r="R36" s="667" t="s">
        <v>14</v>
      </c>
      <c r="S36" s="668">
        <f t="shared" si="12"/>
        <v>100</v>
      </c>
      <c r="T36" s="667" t="s">
        <v>14</v>
      </c>
      <c r="U36" s="668">
        <f t="shared" si="13"/>
        <v>100</v>
      </c>
      <c r="V36" s="667" t="s">
        <v>14</v>
      </c>
      <c r="W36" s="668">
        <f t="shared" si="14"/>
        <v>100</v>
      </c>
      <c r="X36" s="1264"/>
      <c r="Y36" s="3469"/>
      <c r="Z36" s="1263" t="str">
        <f t="shared" si="15"/>
        <v>内部装修</v>
      </c>
      <c r="AA36" s="1263">
        <f t="shared" si="3"/>
        <v>1</v>
      </c>
      <c r="AB36" s="1263">
        <f t="shared" si="4"/>
        <v>1</v>
      </c>
      <c r="AC36" s="1263">
        <f t="shared" si="5"/>
        <v>1</v>
      </c>
    </row>
    <row r="37" spans="1:29" ht="15">
      <c r="A37" s="409"/>
      <c r="B37" s="364" t="s">
        <v>1822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69"/>
      <c r="Q37" s="1262" t="str">
        <f t="shared" si="11"/>
        <v>内部装修状况</v>
      </c>
      <c r="R37" s="667" t="s">
        <v>14</v>
      </c>
      <c r="S37" s="668">
        <f t="shared" si="12"/>
        <v>100</v>
      </c>
      <c r="T37" s="667" t="s">
        <v>14</v>
      </c>
      <c r="U37" s="668">
        <f t="shared" si="13"/>
        <v>100</v>
      </c>
      <c r="V37" s="667" t="s">
        <v>14</v>
      </c>
      <c r="W37" s="668">
        <f t="shared" si="14"/>
        <v>100</v>
      </c>
      <c r="X37" s="1264"/>
      <c r="Y37" s="3469"/>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9"/>
      <c r="Q38" s="531">
        <f t="shared" si="11"/>
        <v>111</v>
      </c>
      <c r="R38" s="669" t="s">
        <v>14</v>
      </c>
      <c r="S38" s="670">
        <f t="shared" si="12"/>
        <v>100</v>
      </c>
      <c r="T38" s="669" t="s">
        <v>14</v>
      </c>
      <c r="U38" s="670">
        <f t="shared" si="13"/>
        <v>100</v>
      </c>
      <c r="V38" s="669" t="s">
        <v>14</v>
      </c>
      <c r="W38" s="670">
        <f t="shared" si="14"/>
        <v>100</v>
      </c>
      <c r="X38" s="671"/>
      <c r="Y38" s="3469"/>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9"/>
      <c r="Q39" s="1262">
        <f t="shared" si="11"/>
        <v>111</v>
      </c>
      <c r="R39" s="667" t="s">
        <v>14</v>
      </c>
      <c r="S39" s="668">
        <f t="shared" si="12"/>
        <v>100</v>
      </c>
      <c r="T39" s="667" t="s">
        <v>14</v>
      </c>
      <c r="U39" s="668">
        <f t="shared" si="13"/>
        <v>100</v>
      </c>
      <c r="V39" s="667" t="s">
        <v>14</v>
      </c>
      <c r="W39" s="668">
        <f t="shared" si="14"/>
        <v>100</v>
      </c>
      <c r="X39" s="1264"/>
      <c r="Y39" s="3469"/>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0"/>
      <c r="Q40" s="1262">
        <f t="shared" si="11"/>
        <v>111</v>
      </c>
      <c r="R40" s="667" t="s">
        <v>14</v>
      </c>
      <c r="S40" s="668">
        <f t="shared" si="12"/>
        <v>100</v>
      </c>
      <c r="T40" s="667" t="s">
        <v>14</v>
      </c>
      <c r="U40" s="668">
        <f t="shared" si="13"/>
        <v>100</v>
      </c>
      <c r="V40" s="667" t="s">
        <v>14</v>
      </c>
      <c r="W40" s="668">
        <f t="shared" si="14"/>
        <v>100</v>
      </c>
      <c r="X40" s="1264"/>
      <c r="Y40" s="3470"/>
      <c r="Z40" s="1263">
        <f t="shared" si="15"/>
        <v>111</v>
      </c>
      <c r="AA40" s="1263">
        <f t="shared" si="3"/>
        <v>1</v>
      </c>
      <c r="AB40" s="1263">
        <f t="shared" si="4"/>
        <v>1</v>
      </c>
      <c r="AC40" s="1263">
        <f t="shared" si="5"/>
        <v>1</v>
      </c>
    </row>
    <row r="41" spans="1:29" ht="15">
      <c r="A41" s="416" t="s">
        <v>1702</v>
      </c>
      <c r="B41" s="417"/>
      <c r="C41" s="1081" t="s">
        <v>0</v>
      </c>
      <c r="D41" s="418"/>
      <c r="E41" s="419"/>
      <c r="F41" s="420"/>
      <c r="G41" s="421"/>
      <c r="H41" s="422"/>
      <c r="I41" s="419"/>
      <c r="J41" s="422"/>
      <c r="K41" s="674"/>
      <c r="L41" s="873"/>
      <c r="M41" s="861"/>
      <c r="N41" s="861"/>
      <c r="O41" s="861"/>
      <c r="P41" s="3462" t="str">
        <f>A41</f>
        <v>成交单价（元/平方米）</v>
      </c>
      <c r="Q41" s="3462"/>
      <c r="R41" s="3463">
        <f>E41</f>
        <v>0</v>
      </c>
      <c r="S41" s="3463"/>
      <c r="T41" s="3463">
        <f>G41</f>
        <v>0</v>
      </c>
      <c r="U41" s="3463"/>
      <c r="V41" s="3463">
        <f>I41</f>
        <v>0</v>
      </c>
      <c r="W41" s="3463"/>
      <c r="X41" s="385"/>
      <c r="Y41" s="673"/>
      <c r="Z41" s="385"/>
      <c r="AA41" s="385"/>
      <c r="AB41" s="385"/>
      <c r="AC41" s="385"/>
    </row>
    <row r="42" spans="1:29" ht="15.75" thickBot="1">
      <c r="A42" s="423" t="s">
        <v>1787</v>
      </c>
      <c r="B42" s="424"/>
      <c r="C42" s="1082" t="e">
        <f>R43</f>
        <v>#DIV/0!</v>
      </c>
      <c r="D42" s="2137" t="s">
        <v>2132</v>
      </c>
      <c r="E42" s="1083" t="e">
        <f>R42</f>
        <v>#DIV/0!</v>
      </c>
      <c r="F42" s="2138"/>
      <c r="G42" s="1082" t="e">
        <f>T42</f>
        <v>#DIV/0!</v>
      </c>
      <c r="H42" s="2138"/>
      <c r="I42" s="1083" t="e">
        <f>V42</f>
        <v>#DIV/0!</v>
      </c>
      <c r="J42" s="2138"/>
      <c r="K42" s="2140">
        <f>F42+H42+J42</f>
        <v>0</v>
      </c>
      <c r="L42" s="873"/>
      <c r="M42" s="861"/>
      <c r="N42" s="861"/>
      <c r="O42" s="861"/>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385"/>
      <c r="Y42" s="385"/>
      <c r="Z42" s="385"/>
      <c r="AA42" s="385"/>
      <c r="AB42" s="385"/>
      <c r="AC42" s="385"/>
    </row>
    <row r="43" spans="1:29" ht="15.75" thickBot="1">
      <c r="A43" s="427" t="s">
        <v>1788</v>
      </c>
      <c r="B43" s="428"/>
      <c r="C43" s="351" t="e">
        <f>R43</f>
        <v>#DIV/0!</v>
      </c>
      <c r="D43" s="351"/>
      <c r="E43" s="351"/>
      <c r="F43" s="351"/>
      <c r="G43" s="351"/>
      <c r="H43" s="351"/>
      <c r="I43" s="351"/>
      <c r="J43" s="351"/>
      <c r="K43" s="675"/>
      <c r="L43" s="873"/>
      <c r="M43" s="861"/>
      <c r="N43" s="861"/>
      <c r="O43" s="861"/>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1789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1.75" thickBot="1">
      <c r="A51" s="658" t="s">
        <v>1792</v>
      </c>
      <c r="B51" s="385"/>
      <c r="C51" s="659"/>
      <c r="D51" s="659"/>
      <c r="E51" s="659"/>
      <c r="F51" s="660"/>
      <c r="G51" s="660"/>
      <c r="H51" s="659"/>
      <c r="I51" s="659"/>
      <c r="J51" s="659"/>
      <c r="K51" s="887"/>
      <c r="L51" s="888"/>
      <c r="M51" s="886"/>
      <c r="N51" s="886"/>
      <c r="O51" s="886"/>
      <c r="P51" s="438"/>
      <c r="Q51" s="439"/>
    </row>
    <row r="52" spans="1:17" s="442" customFormat="1" ht="15">
      <c r="A52" s="440" t="s">
        <v>1673</v>
      </c>
      <c r="B52" s="441"/>
      <c r="C52" s="1102" t="str">
        <f>YEAR(C7)&amp;"-"&amp;MONTH(C7)</f>
        <v>2023-12</v>
      </c>
      <c r="D52" s="1103">
        <f>EDATE(C52,-1)</f>
        <v>45231</v>
      </c>
      <c r="E52" s="1103">
        <f t="shared" ref="E52:O52" si="16">EDATE(D52,-1)</f>
        <v>45200</v>
      </c>
      <c r="F52" s="1103">
        <f t="shared" si="16"/>
        <v>45170</v>
      </c>
      <c r="G52" s="1103">
        <f t="shared" si="16"/>
        <v>45139</v>
      </c>
      <c r="H52" s="1103">
        <f t="shared" si="16"/>
        <v>45108</v>
      </c>
      <c r="I52" s="1103">
        <f t="shared" si="16"/>
        <v>45078</v>
      </c>
      <c r="J52" s="1103">
        <f t="shared" si="16"/>
        <v>45047</v>
      </c>
      <c r="K52" s="1103">
        <f t="shared" si="16"/>
        <v>45017</v>
      </c>
      <c r="L52" s="1103">
        <f t="shared" si="16"/>
        <v>44986</v>
      </c>
      <c r="M52" s="1103">
        <f t="shared" si="16"/>
        <v>44958</v>
      </c>
      <c r="N52" s="1103">
        <f t="shared" si="16"/>
        <v>44927</v>
      </c>
      <c r="O52" s="1103">
        <f t="shared" si="16"/>
        <v>44896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1710</v>
      </c>
      <c r="B54" s="450"/>
      <c r="C54" s="451"/>
      <c r="D54" s="452"/>
      <c r="E54" s="452"/>
      <c r="F54" s="452"/>
      <c r="G54" s="452"/>
      <c r="H54" s="452"/>
      <c r="I54" s="452"/>
      <c r="J54" s="452"/>
      <c r="K54" s="452"/>
      <c r="L54" s="452"/>
      <c r="M54" s="453"/>
      <c r="N54" s="2533"/>
      <c r="O54" s="2534"/>
      <c r="P54" s="439"/>
      <c r="Q54" s="439"/>
    </row>
    <row r="55" spans="1:17" s="102" customFormat="1" ht="15">
      <c r="A55" s="455" t="s">
        <v>1675</v>
      </c>
      <c r="B55" s="444"/>
      <c r="C55" s="456" t="s">
        <v>1770</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1713</v>
      </c>
      <c r="B57" s="460" t="s">
        <v>1679</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1682</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1684</v>
      </c>
      <c r="B70" s="460" t="s">
        <v>1823</v>
      </c>
      <c r="C70" s="504" t="s">
        <v>1715</v>
      </c>
      <c r="D70" s="504" t="s">
        <v>1716</v>
      </c>
      <c r="E70" s="504" t="s">
        <v>1717</v>
      </c>
      <c r="F70" s="504" t="s">
        <v>1718</v>
      </c>
      <c r="G70" s="504" t="s">
        <v>1719</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1720</v>
      </c>
      <c r="C72" s="509" t="s">
        <v>1715</v>
      </c>
      <c r="D72" s="509" t="s">
        <v>1716</v>
      </c>
      <c r="E72" s="509" t="s">
        <v>1717</v>
      </c>
      <c r="F72" s="509" t="s">
        <v>1718</v>
      </c>
      <c r="G72" s="509" t="s">
        <v>1719</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1721</v>
      </c>
      <c r="C74" s="509" t="s">
        <v>1715</v>
      </c>
      <c r="D74" s="509" t="s">
        <v>1716</v>
      </c>
      <c r="E74" s="509" t="s">
        <v>1717</v>
      </c>
      <c r="F74" s="509" t="s">
        <v>1718</v>
      </c>
      <c r="G74" s="509" t="s">
        <v>1719</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1807</v>
      </c>
      <c r="C76" s="581" t="s">
        <v>1793</v>
      </c>
      <c r="D76" s="581" t="s">
        <v>1794</v>
      </c>
      <c r="E76" s="581" t="s">
        <v>1795</v>
      </c>
      <c r="F76" s="581" t="s">
        <v>1796</v>
      </c>
      <c r="G76" s="581" t="s">
        <v>1797</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1816</v>
      </c>
      <c r="C78" s="509" t="s">
        <v>1715</v>
      </c>
      <c r="D78" s="509" t="s">
        <v>1716</v>
      </c>
      <c r="E78" s="509" t="s">
        <v>1717</v>
      </c>
      <c r="F78" s="509" t="s">
        <v>1718</v>
      </c>
      <c r="G78" s="509" t="s">
        <v>1719</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1688</v>
      </c>
      <c r="B88" s="460" t="s">
        <v>1730</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1732</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1734</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1735</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1736</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1738</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1824</v>
      </c>
      <c r="C106" s="509" t="s">
        <v>1715</v>
      </c>
      <c r="D106" s="509" t="s">
        <v>1716</v>
      </c>
      <c r="E106" s="509" t="s">
        <v>1717</v>
      </c>
      <c r="F106" s="509" t="s">
        <v>1718</v>
      </c>
      <c r="G106" s="509" t="s">
        <v>1719</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1825</v>
      </c>
      <c r="B1" s="1139" t="s">
        <v>3331</v>
      </c>
      <c r="C1" s="1140" t="s">
        <v>1656</v>
      </c>
      <c r="D1" s="1141"/>
      <c r="E1" s="3126"/>
      <c r="F1" s="1734"/>
      <c r="G1" s="1143" t="s">
        <v>1761</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1458</v>
      </c>
      <c r="B3" s="536" t="e">
        <f>IF(AND(C2="——",B37="元/平方米"),C39,ROUND(B2*10000/D3,0))</f>
        <v>#DIV/0!</v>
      </c>
      <c r="C3" s="344" t="s">
        <v>1762</v>
      </c>
      <c r="D3" s="343">
        <f>SUMIF('数据-汇总表'!$C19:$C33,D1,'数据-汇总表'!$E19:$E33)</f>
        <v>0</v>
      </c>
      <c r="E3" s="344" t="s">
        <v>1826</v>
      </c>
      <c r="F3" s="343">
        <f>SUMIF('数据-取费表'!A5:A15,D1,'数据-取费表'!AH5:AH15)</f>
        <v>217</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5">
      <c r="A4" s="345" t="s">
        <v>1763</v>
      </c>
      <c r="B4" s="346"/>
      <c r="C4" s="3477" t="s">
        <v>1764</v>
      </c>
      <c r="D4" s="3478"/>
      <c r="E4" s="3479" t="s">
        <v>1765</v>
      </c>
      <c r="F4" s="3480"/>
      <c r="G4" s="3477" t="s">
        <v>1766</v>
      </c>
      <c r="H4" s="3478"/>
      <c r="I4" s="3477" t="s">
        <v>1767</v>
      </c>
      <c r="J4" s="3478"/>
      <c r="K4" s="537" t="s">
        <v>1768</v>
      </c>
      <c r="L4" s="2481"/>
      <c r="M4" s="2482"/>
      <c r="N4" s="2482"/>
      <c r="O4" s="2482"/>
      <c r="P4" s="3481" t="s">
        <v>1769</v>
      </c>
      <c r="Q4" s="3482"/>
      <c r="R4" s="3487" t="s">
        <v>1765</v>
      </c>
      <c r="S4" s="3488"/>
      <c r="T4" s="3487" t="s">
        <v>1766</v>
      </c>
      <c r="U4" s="3488"/>
      <c r="V4" s="3463" t="s">
        <v>1767</v>
      </c>
      <c r="W4" s="3463"/>
      <c r="X4" s="1264"/>
      <c r="Y4" s="3487" t="s">
        <v>1769</v>
      </c>
      <c r="Z4" s="3488"/>
      <c r="AA4" s="3474" t="s">
        <v>1765</v>
      </c>
      <c r="AB4" s="3475" t="s">
        <v>1766</v>
      </c>
      <c r="AC4" s="3474" t="s">
        <v>1767</v>
      </c>
    </row>
    <row r="5" spans="1:29" ht="15">
      <c r="A5" s="348"/>
      <c r="B5" s="349"/>
      <c r="C5" s="3511" t="s">
        <v>1667</v>
      </c>
      <c r="D5" s="3496"/>
      <c r="E5" s="3512" t="s">
        <v>1668</v>
      </c>
      <c r="F5" s="3503"/>
      <c r="G5" s="3511" t="s">
        <v>1669</v>
      </c>
      <c r="H5" s="3496"/>
      <c r="I5" s="3511" t="s">
        <v>1670</v>
      </c>
      <c r="J5" s="3496"/>
      <c r="K5" s="537"/>
      <c r="L5" s="2481"/>
      <c r="M5" s="2482"/>
      <c r="N5" s="2482"/>
      <c r="O5" s="2482"/>
      <c r="P5" s="3483"/>
      <c r="Q5" s="3484"/>
      <c r="R5" s="3489"/>
      <c r="S5" s="3490"/>
      <c r="T5" s="3489"/>
      <c r="U5" s="3490"/>
      <c r="V5" s="3463"/>
      <c r="W5" s="3463"/>
      <c r="X5" s="1264"/>
      <c r="Y5" s="3489"/>
      <c r="Z5" s="3490"/>
      <c r="AA5" s="3475"/>
      <c r="AB5" s="3475"/>
      <c r="AC5" s="3475"/>
    </row>
    <row r="6" spans="1:29" ht="15.75" thickBot="1">
      <c r="A6" s="350"/>
      <c r="B6" s="351"/>
      <c r="C6" s="3493" t="s">
        <v>1671</v>
      </c>
      <c r="D6" s="3494"/>
      <c r="E6" s="3500" t="s">
        <v>1671</v>
      </c>
      <c r="F6" s="3501"/>
      <c r="G6" s="3493" t="s">
        <v>1671</v>
      </c>
      <c r="H6" s="3494"/>
      <c r="I6" s="3493" t="s">
        <v>1671</v>
      </c>
      <c r="J6" s="3494"/>
      <c r="K6" s="537" t="s">
        <v>1672</v>
      </c>
      <c r="L6" s="2481"/>
      <c r="M6" s="2482"/>
      <c r="N6" s="2482"/>
      <c r="O6" s="2482"/>
      <c r="P6" s="3485"/>
      <c r="Q6" s="3486"/>
      <c r="R6" s="3489"/>
      <c r="S6" s="3490"/>
      <c r="T6" s="3491"/>
      <c r="U6" s="3492"/>
      <c r="V6" s="3463"/>
      <c r="W6" s="3463"/>
      <c r="X6" s="1264"/>
      <c r="Y6" s="3491"/>
      <c r="Z6" s="3492"/>
      <c r="AA6" s="3476"/>
      <c r="AB6" s="3476"/>
      <c r="AC6" s="3476"/>
    </row>
    <row r="7" spans="1:29" s="102" customFormat="1" ht="15.75" thickBot="1">
      <c r="A7" s="352" t="s">
        <v>1673</v>
      </c>
      <c r="B7" s="353"/>
      <c r="C7" s="354">
        <f>'数据-取费表'!B2</f>
        <v>45291</v>
      </c>
      <c r="D7" s="355">
        <v>100</v>
      </c>
      <c r="E7" s="356"/>
      <c r="F7" s="357">
        <f>SUMIF(48:48,YEAR(E7)&amp;"-"&amp;MONTH(E7),49:49)</f>
        <v>0</v>
      </c>
      <c r="G7" s="356"/>
      <c r="H7" s="355">
        <f>SUMIF(48:48,YEAR(G7)&amp;"-"&amp;MONTH(G7),49:49)</f>
        <v>0</v>
      </c>
      <c r="I7" s="356"/>
      <c r="J7" s="355">
        <f>SUMIF(48:48,YEAR(I7)&amp;"-"&amp;MONTH(I7),49:49)</f>
        <v>0</v>
      </c>
      <c r="K7" s="38"/>
      <c r="L7" s="2483"/>
      <c r="M7" s="2435"/>
      <c r="N7" s="2435"/>
      <c r="O7" s="2435"/>
      <c r="P7" s="3497" t="s">
        <v>1674</v>
      </c>
      <c r="Q7" s="3499"/>
      <c r="R7" s="664" t="s">
        <v>14</v>
      </c>
      <c r="S7" s="665">
        <f t="shared" ref="S7:S14" si="0">F7</f>
        <v>0</v>
      </c>
      <c r="T7" s="664" t="s">
        <v>14</v>
      </c>
      <c r="U7" s="665">
        <f t="shared" ref="U7:U14" si="1">H7</f>
        <v>0</v>
      </c>
      <c r="V7" s="664" t="s">
        <v>14</v>
      </c>
      <c r="W7" s="665">
        <f t="shared" ref="W7:W14" si="2">J7</f>
        <v>0</v>
      </c>
      <c r="X7" s="666"/>
      <c r="Y7" s="3497" t="s">
        <v>1674</v>
      </c>
      <c r="Z7" s="3498"/>
      <c r="AA7" s="50" t="e">
        <f>D7/F7</f>
        <v>#DIV/0!</v>
      </c>
      <c r="AB7" s="50" t="e">
        <f>D7/H7</f>
        <v>#DIV/0!</v>
      </c>
      <c r="AC7" s="50" t="e">
        <f>D7/J7</f>
        <v>#DIV/0!</v>
      </c>
    </row>
    <row r="8" spans="1:29" s="102" customFormat="1" ht="15.75" thickBot="1">
      <c r="A8" s="352" t="s">
        <v>1675</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97" t="s">
        <v>1677</v>
      </c>
      <c r="Q8" s="3498"/>
      <c r="R8" s="664" t="s">
        <v>14</v>
      </c>
      <c r="S8" s="665">
        <f t="shared" si="0"/>
        <v>100</v>
      </c>
      <c r="T8" s="664" t="s">
        <v>14</v>
      </c>
      <c r="U8" s="665">
        <f t="shared" si="1"/>
        <v>100</v>
      </c>
      <c r="V8" s="664" t="s">
        <v>14</v>
      </c>
      <c r="W8" s="665">
        <f t="shared" si="2"/>
        <v>100</v>
      </c>
      <c r="X8" s="666"/>
      <c r="Y8" s="3497" t="s">
        <v>1677</v>
      </c>
      <c r="Z8" s="3498"/>
      <c r="AA8" s="50">
        <f t="shared" ref="AA8:AA36" si="3">D8/F8</f>
        <v>1</v>
      </c>
      <c r="AB8" s="50">
        <f t="shared" ref="AB8:AB36" si="4">D8/H8</f>
        <v>1</v>
      </c>
      <c r="AC8" s="50">
        <f t="shared" ref="AC8:AC36" si="5">D8/J8</f>
        <v>1</v>
      </c>
    </row>
    <row r="9" spans="1:29" s="102" customFormat="1">
      <c r="A9" s="57" t="s">
        <v>1678</v>
      </c>
      <c r="B9" s="564" t="s">
        <v>1679</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62" t="s">
        <v>1680</v>
      </c>
      <c r="Q9" s="530" t="str">
        <f t="shared" ref="Q9:Q14" si="6">B9</f>
        <v>用途</v>
      </c>
      <c r="R9" s="664" t="s">
        <v>14</v>
      </c>
      <c r="S9" s="665">
        <f t="shared" si="0"/>
        <v>100</v>
      </c>
      <c r="T9" s="664" t="s">
        <v>14</v>
      </c>
      <c r="U9" s="665">
        <f t="shared" si="1"/>
        <v>100</v>
      </c>
      <c r="V9" s="664" t="s">
        <v>14</v>
      </c>
      <c r="W9" s="665">
        <f t="shared" si="2"/>
        <v>100</v>
      </c>
      <c r="X9" s="666"/>
      <c r="Y9" s="3366" t="s">
        <v>1681</v>
      </c>
      <c r="Z9" s="50" t="str">
        <f t="shared" ref="Z9:Z14" si="7">Q9</f>
        <v>用途</v>
      </c>
      <c r="AA9" s="50">
        <f t="shared" si="3"/>
        <v>1</v>
      </c>
      <c r="AB9" s="50">
        <f t="shared" si="4"/>
        <v>1</v>
      </c>
      <c r="AC9" s="50">
        <f t="shared" si="5"/>
        <v>1</v>
      </c>
    </row>
    <row r="10" spans="1:29" s="366" customFormat="1" ht="27">
      <c r="A10" s="565"/>
      <c r="B10" s="566" t="s">
        <v>1682</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62"/>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62"/>
      <c r="Q11" s="530">
        <f t="shared" si="6"/>
        <v>111</v>
      </c>
      <c r="R11" s="664" t="s">
        <v>14</v>
      </c>
      <c r="S11" s="665">
        <f t="shared" si="0"/>
        <v>100</v>
      </c>
      <c r="T11" s="664" t="s">
        <v>14</v>
      </c>
      <c r="U11" s="665">
        <f t="shared" si="1"/>
        <v>100</v>
      </c>
      <c r="V11" s="664" t="s">
        <v>14</v>
      </c>
      <c r="W11" s="665">
        <f t="shared" si="2"/>
        <v>100</v>
      </c>
      <c r="X11" s="666"/>
      <c r="Y11" s="33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62"/>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62"/>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85.5">
      <c r="A14" s="345" t="s">
        <v>1684</v>
      </c>
      <c r="B14" s="554" t="s">
        <v>1827</v>
      </c>
      <c r="C14" s="1815"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64" t="s">
        <v>1685</v>
      </c>
      <c r="Q14" s="1262" t="str">
        <f t="shared" si="6"/>
        <v>交通便捷度</v>
      </c>
      <c r="R14" s="667" t="s">
        <v>14</v>
      </c>
      <c r="S14" s="668">
        <f t="shared" si="0"/>
        <v>100</v>
      </c>
      <c r="T14" s="667" t="s">
        <v>14</v>
      </c>
      <c r="U14" s="668">
        <f t="shared" si="1"/>
        <v>100</v>
      </c>
      <c r="V14" s="667" t="s">
        <v>14</v>
      </c>
      <c r="W14" s="668">
        <f t="shared" si="2"/>
        <v>100</v>
      </c>
      <c r="X14" s="1264"/>
      <c r="Y14" s="3464" t="s">
        <v>1685</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7"/>
      <c r="M15" s="2482"/>
      <c r="N15" s="2482"/>
      <c r="O15" s="2482"/>
      <c r="P15" s="3465"/>
      <c r="Q15" s="1262"/>
      <c r="R15" s="667"/>
      <c r="S15" s="668"/>
      <c r="T15" s="667"/>
      <c r="U15" s="668"/>
      <c r="V15" s="667"/>
      <c r="W15" s="668"/>
      <c r="X15" s="1264"/>
      <c r="Y15" s="3465"/>
      <c r="Z15" s="1263"/>
      <c r="AA15" s="1263">
        <v>1</v>
      </c>
      <c r="AB15" s="1263">
        <v>1</v>
      </c>
      <c r="AC15" s="1263">
        <v>1</v>
      </c>
    </row>
    <row r="16" spans="1:29" ht="42.75">
      <c r="A16" s="348"/>
      <c r="B16" s="556" t="s">
        <v>1806</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65"/>
      <c r="Q16" s="1262" t="str">
        <f>B16</f>
        <v>公共配套设施</v>
      </c>
      <c r="R16" s="667" t="s">
        <v>14</v>
      </c>
      <c r="S16" s="668">
        <f>F16</f>
        <v>100</v>
      </c>
      <c r="T16" s="667" t="s">
        <v>14</v>
      </c>
      <c r="U16" s="668">
        <f>H16</f>
        <v>100</v>
      </c>
      <c r="V16" s="667" t="s">
        <v>14</v>
      </c>
      <c r="W16" s="668">
        <f>J16</f>
        <v>100</v>
      </c>
      <c r="X16" s="1264"/>
      <c r="Y16" s="3465"/>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7"/>
      <c r="M17" s="2482"/>
      <c r="N17" s="2482"/>
      <c r="O17" s="2482"/>
      <c r="P17" s="3465"/>
      <c r="Q17" s="1262"/>
      <c r="R17" s="667"/>
      <c r="S17" s="668"/>
      <c r="T17" s="667"/>
      <c r="U17" s="668"/>
      <c r="V17" s="667"/>
      <c r="W17" s="668"/>
      <c r="X17" s="1264"/>
      <c r="Y17" s="3465"/>
      <c r="Z17" s="1263"/>
      <c r="AA17" s="1263">
        <v>1</v>
      </c>
      <c r="AB17" s="1263">
        <v>1</v>
      </c>
      <c r="AC17" s="1263">
        <v>1</v>
      </c>
    </row>
    <row r="18" spans="1:29" ht="28.5">
      <c r="A18" s="348"/>
      <c r="B18" s="557" t="s">
        <v>1807</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65"/>
      <c r="Q18" s="1262" t="str">
        <f>B18</f>
        <v>基础设施水平</v>
      </c>
      <c r="R18" s="667" t="s">
        <v>14</v>
      </c>
      <c r="S18" s="668">
        <f>F18</f>
        <v>100</v>
      </c>
      <c r="T18" s="667" t="s">
        <v>14</v>
      </c>
      <c r="U18" s="668">
        <f>H18</f>
        <v>100</v>
      </c>
      <c r="V18" s="667" t="s">
        <v>14</v>
      </c>
      <c r="W18" s="668">
        <f>J18</f>
        <v>100</v>
      </c>
      <c r="X18" s="1264"/>
      <c r="Y18" s="3465"/>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87"/>
      <c r="M19" s="2482"/>
      <c r="N19" s="2482"/>
      <c r="O19" s="2482"/>
      <c r="P19" s="3465"/>
      <c r="Q19" s="1262"/>
      <c r="R19" s="667"/>
      <c r="S19" s="668"/>
      <c r="T19" s="667"/>
      <c r="U19" s="668"/>
      <c r="V19" s="667"/>
      <c r="W19" s="668"/>
      <c r="X19" s="1264"/>
      <c r="Y19" s="3465"/>
      <c r="Z19" s="1263"/>
      <c r="AA19" s="1263">
        <v>1</v>
      </c>
      <c r="AB19" s="1263">
        <v>1</v>
      </c>
      <c r="AC19" s="1263">
        <v>1</v>
      </c>
    </row>
    <row r="20" spans="1:29" ht="57">
      <c r="A20" s="348"/>
      <c r="B20" s="556" t="s">
        <v>1828</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65"/>
      <c r="Q20" s="1262" t="str">
        <f>B20</f>
        <v>自然及人文环境</v>
      </c>
      <c r="R20" s="667" t="s">
        <v>14</v>
      </c>
      <c r="S20" s="668">
        <f>F20</f>
        <v>100</v>
      </c>
      <c r="T20" s="667" t="s">
        <v>14</v>
      </c>
      <c r="U20" s="668">
        <f>H20</f>
        <v>100</v>
      </c>
      <c r="V20" s="667" t="s">
        <v>14</v>
      </c>
      <c r="W20" s="668">
        <f>J20</f>
        <v>100</v>
      </c>
      <c r="X20" s="1264"/>
      <c r="Y20" s="346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7"/>
      <c r="M21" s="2482"/>
      <c r="N21" s="2482"/>
      <c r="O21" s="2482"/>
      <c r="P21" s="3465"/>
      <c r="Q21" s="1262"/>
      <c r="R21" s="667"/>
      <c r="S21" s="668"/>
      <c r="T21" s="667"/>
      <c r="U21" s="668"/>
      <c r="V21" s="667"/>
      <c r="W21" s="668"/>
      <c r="X21" s="1264"/>
      <c r="Y21" s="3465"/>
      <c r="Z21" s="1263"/>
      <c r="AA21" s="1263">
        <v>1</v>
      </c>
      <c r="AB21" s="1263">
        <v>1</v>
      </c>
      <c r="AC21" s="1263">
        <v>1</v>
      </c>
    </row>
    <row r="22" spans="1:29" ht="15">
      <c r="A22" s="348"/>
      <c r="B22" s="556" t="s">
        <v>1829</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65"/>
      <c r="Q22" s="1262" t="str">
        <f>B22</f>
        <v>楼层</v>
      </c>
      <c r="R22" s="667" t="s">
        <v>14</v>
      </c>
      <c r="S22" s="668">
        <f>F22</f>
        <v>100</v>
      </c>
      <c r="T22" s="667" t="s">
        <v>14</v>
      </c>
      <c r="U22" s="668">
        <f>H22</f>
        <v>100</v>
      </c>
      <c r="V22" s="667" t="s">
        <v>14</v>
      </c>
      <c r="W22" s="668">
        <f>J22</f>
        <v>100</v>
      </c>
      <c r="X22" s="1264"/>
      <c r="Y22" s="346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65"/>
      <c r="Q23" s="1262">
        <f>B23</f>
        <v>111</v>
      </c>
      <c r="R23" s="667" t="s">
        <v>14</v>
      </c>
      <c r="S23" s="668">
        <f>F23</f>
        <v>100</v>
      </c>
      <c r="T23" s="667" t="s">
        <v>14</v>
      </c>
      <c r="U23" s="668">
        <f>H23</f>
        <v>100</v>
      </c>
      <c r="V23" s="667" t="s">
        <v>14</v>
      </c>
      <c r="W23" s="668">
        <f>J23</f>
        <v>100</v>
      </c>
      <c r="X23" s="1264"/>
      <c r="Y23" s="346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65"/>
      <c r="Q24" s="1262">
        <f t="shared" ref="Q24:Q36" si="11">B24</f>
        <v>111</v>
      </c>
      <c r="R24" s="667" t="s">
        <v>14</v>
      </c>
      <c r="S24" s="668">
        <f>F24</f>
        <v>100</v>
      </c>
      <c r="T24" s="667" t="s">
        <v>14</v>
      </c>
      <c r="U24" s="668">
        <f>H24</f>
        <v>100</v>
      </c>
      <c r="V24" s="667" t="s">
        <v>14</v>
      </c>
      <c r="W24" s="668">
        <f>J24</f>
        <v>100</v>
      </c>
      <c r="X24" s="1264"/>
      <c r="Y24" s="3465"/>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465"/>
      <c r="Q25" s="530">
        <f t="shared" si="11"/>
        <v>111</v>
      </c>
      <c r="R25" s="664" t="s">
        <v>14</v>
      </c>
      <c r="S25" s="665">
        <f>F25</f>
        <v>100</v>
      </c>
      <c r="T25" s="664" t="s">
        <v>14</v>
      </c>
      <c r="U25" s="665">
        <f>H25</f>
        <v>100</v>
      </c>
      <c r="V25" s="664" t="s">
        <v>14</v>
      </c>
      <c r="W25" s="665">
        <f>J25</f>
        <v>100</v>
      </c>
      <c r="X25" s="666"/>
      <c r="Y25" s="3465"/>
      <c r="Z25" s="50">
        <f>Q25</f>
        <v>111</v>
      </c>
      <c r="AA25" s="1263">
        <f>D25/F25</f>
        <v>1</v>
      </c>
      <c r="AB25" s="1263">
        <f>D25/H25</f>
        <v>1</v>
      </c>
      <c r="AC25" s="1263">
        <f>D25/J25</f>
        <v>1</v>
      </c>
    </row>
    <row r="26" spans="1:29" ht="28.5">
      <c r="A26" s="574" t="s">
        <v>1688</v>
      </c>
      <c r="B26" s="59" t="s">
        <v>1830</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10" t="s">
        <v>1690</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69" t="s">
        <v>1690</v>
      </c>
      <c r="Z26" s="1263" t="str">
        <f t="shared" ref="Z26:Z36" si="15">Q26</f>
        <v>配套类型</v>
      </c>
      <c r="AA26" s="1263" t="e">
        <f t="shared" si="3"/>
        <v>#DIV/0!</v>
      </c>
      <c r="AB26" s="1263" t="e">
        <f t="shared" si="4"/>
        <v>#DIV/0!</v>
      </c>
      <c r="AC26" s="1263" t="e">
        <f t="shared" si="5"/>
        <v>#DIV/0!</v>
      </c>
    </row>
    <row r="27" spans="1:29" s="408" customFormat="1" ht="15">
      <c r="A27" s="575"/>
      <c r="B27" s="119" t="s">
        <v>1831</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69"/>
      <c r="Q27" s="531" t="str">
        <f t="shared" si="11"/>
        <v>项目停车位配比</v>
      </c>
      <c r="R27" s="669" t="s">
        <v>14</v>
      </c>
      <c r="S27" s="670">
        <f t="shared" si="12"/>
        <v>100</v>
      </c>
      <c r="T27" s="669" t="s">
        <v>14</v>
      </c>
      <c r="U27" s="670">
        <f t="shared" si="13"/>
        <v>100</v>
      </c>
      <c r="V27" s="669" t="s">
        <v>14</v>
      </c>
      <c r="W27" s="670">
        <f t="shared" si="14"/>
        <v>100</v>
      </c>
      <c r="X27" s="671"/>
      <c r="Y27" s="3469"/>
      <c r="Z27" s="672" t="str">
        <f t="shared" si="15"/>
        <v>项目停车位配比</v>
      </c>
      <c r="AA27" s="1263">
        <f t="shared" si="3"/>
        <v>1</v>
      </c>
      <c r="AB27" s="1263">
        <f t="shared" si="4"/>
        <v>1</v>
      </c>
      <c r="AC27" s="1263">
        <f t="shared" si="5"/>
        <v>1</v>
      </c>
    </row>
    <row r="28" spans="1:29" ht="15">
      <c r="A28" s="577"/>
      <c r="B28" s="119" t="s">
        <v>1832</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69"/>
      <c r="Q28" s="1262" t="str">
        <f t="shared" si="11"/>
        <v>公共部分装修</v>
      </c>
      <c r="R28" s="667" t="s">
        <v>14</v>
      </c>
      <c r="S28" s="668">
        <f t="shared" si="12"/>
        <v>100</v>
      </c>
      <c r="T28" s="667" t="s">
        <v>14</v>
      </c>
      <c r="U28" s="668">
        <f t="shared" si="13"/>
        <v>100</v>
      </c>
      <c r="V28" s="667" t="s">
        <v>14</v>
      </c>
      <c r="W28" s="668">
        <f t="shared" si="14"/>
        <v>100</v>
      </c>
      <c r="X28" s="1264"/>
      <c r="Y28" s="3469"/>
      <c r="Z28" s="1263" t="str">
        <f t="shared" si="15"/>
        <v>公共部分装修</v>
      </c>
      <c r="AA28" s="1263">
        <f t="shared" si="3"/>
        <v>1</v>
      </c>
      <c r="AB28" s="1263">
        <f t="shared" si="4"/>
        <v>1</v>
      </c>
      <c r="AC28" s="1263">
        <f t="shared" si="5"/>
        <v>1</v>
      </c>
    </row>
    <row r="29" spans="1:29" ht="15">
      <c r="A29" s="577"/>
      <c r="B29" s="119" t="s">
        <v>1833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69"/>
      <c r="Q29" s="1262" t="str">
        <f t="shared" si="11"/>
        <v>成新率</v>
      </c>
      <c r="R29" s="667" t="s">
        <v>14</v>
      </c>
      <c r="S29" s="668" t="e">
        <f t="shared" si="12"/>
        <v>#N/A</v>
      </c>
      <c r="T29" s="667" t="s">
        <v>14</v>
      </c>
      <c r="U29" s="668" t="e">
        <f t="shared" si="13"/>
        <v>#N/A</v>
      </c>
      <c r="V29" s="667" t="s">
        <v>14</v>
      </c>
      <c r="W29" s="668" t="e">
        <f t="shared" si="14"/>
        <v>#N/A</v>
      </c>
      <c r="X29" s="1264"/>
      <c r="Y29" s="3469"/>
      <c r="Z29" s="1263" t="str">
        <f t="shared" si="15"/>
        <v>成新率</v>
      </c>
      <c r="AA29" s="1263" t="e">
        <f t="shared" si="3"/>
        <v>#N/A</v>
      </c>
      <c r="AB29" s="1263" t="e">
        <f t="shared" si="4"/>
        <v>#N/A</v>
      </c>
      <c r="AC29" s="1263" t="e">
        <f t="shared" si="5"/>
        <v>#N/A</v>
      </c>
    </row>
    <row r="30" spans="1:29" ht="15">
      <c r="A30" s="577"/>
      <c r="B30" s="119" t="s">
        <v>1834</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69"/>
      <c r="Q30" s="1262" t="str">
        <f t="shared" si="11"/>
        <v>物业等级</v>
      </c>
      <c r="R30" s="667" t="s">
        <v>14</v>
      </c>
      <c r="S30" s="668">
        <f t="shared" si="12"/>
        <v>100</v>
      </c>
      <c r="T30" s="667" t="s">
        <v>14</v>
      </c>
      <c r="U30" s="668">
        <f t="shared" si="13"/>
        <v>100</v>
      </c>
      <c r="V30" s="667" t="s">
        <v>14</v>
      </c>
      <c r="W30" s="668">
        <f t="shared" si="14"/>
        <v>100</v>
      </c>
      <c r="X30" s="1264"/>
      <c r="Y30" s="3469"/>
      <c r="Z30" s="1263" t="str">
        <f t="shared" si="15"/>
        <v>物业等级</v>
      </c>
      <c r="AA30" s="1263">
        <f t="shared" si="3"/>
        <v>1</v>
      </c>
      <c r="AB30" s="1263">
        <f t="shared" si="4"/>
        <v>1</v>
      </c>
      <c r="AC30" s="1263">
        <f t="shared" si="5"/>
        <v>1</v>
      </c>
    </row>
    <row r="31" spans="1:29" s="102" customFormat="1" ht="15">
      <c r="A31" s="579"/>
      <c r="B31" s="119" t="s">
        <v>1835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69"/>
      <c r="Q31" s="530" t="str">
        <f t="shared" si="11"/>
        <v>停车位面积</v>
      </c>
      <c r="R31" s="664" t="s">
        <v>14</v>
      </c>
      <c r="S31" s="665" t="e">
        <f t="shared" si="12"/>
        <v>#N/A</v>
      </c>
      <c r="T31" s="664" t="s">
        <v>14</v>
      </c>
      <c r="U31" s="665" t="e">
        <f t="shared" si="13"/>
        <v>#N/A</v>
      </c>
      <c r="V31" s="664" t="s">
        <v>14</v>
      </c>
      <c r="W31" s="665" t="e">
        <f t="shared" si="14"/>
        <v>#N/A</v>
      </c>
      <c r="X31" s="666"/>
      <c r="Y31" s="3469"/>
      <c r="Z31" s="50" t="str">
        <f t="shared" si="15"/>
        <v>停车位面积</v>
      </c>
      <c r="AA31" s="50" t="e">
        <f t="shared" si="3"/>
        <v>#N/A</v>
      </c>
      <c r="AB31" s="50" t="e">
        <f t="shared" si="4"/>
        <v>#N/A</v>
      </c>
      <c r="AC31" s="50" t="e">
        <f t="shared" si="5"/>
        <v>#N/A</v>
      </c>
    </row>
    <row r="32" spans="1:29" ht="15">
      <c r="A32" s="577"/>
      <c r="B32" s="119" t="s">
        <v>1836</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69" t="s">
        <v>1690</v>
      </c>
      <c r="Q32" s="1262" t="str">
        <f t="shared" si="11"/>
        <v>车位类型</v>
      </c>
      <c r="R32" s="667" t="s">
        <v>14</v>
      </c>
      <c r="S32" s="668">
        <f t="shared" si="12"/>
        <v>100</v>
      </c>
      <c r="T32" s="667" t="s">
        <v>14</v>
      </c>
      <c r="U32" s="668">
        <f t="shared" si="13"/>
        <v>100</v>
      </c>
      <c r="V32" s="667" t="s">
        <v>14</v>
      </c>
      <c r="W32" s="668">
        <f t="shared" si="14"/>
        <v>100</v>
      </c>
      <c r="X32" s="1264"/>
      <c r="Y32" s="3469" t="s">
        <v>1690</v>
      </c>
      <c r="Z32" s="1263" t="str">
        <f t="shared" si="15"/>
        <v>车位类型</v>
      </c>
      <c r="AA32" s="1263">
        <f t="shared" si="3"/>
        <v>1</v>
      </c>
      <c r="AB32" s="1263">
        <f t="shared" si="4"/>
        <v>1</v>
      </c>
      <c r="AC32" s="1263">
        <f t="shared" si="5"/>
        <v>1</v>
      </c>
    </row>
    <row r="33" spans="1:29" ht="15">
      <c r="A33" s="577"/>
      <c r="B33" s="119" t="s">
        <v>1837</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69"/>
      <c r="Q33" s="1262" t="str">
        <f t="shared" si="11"/>
        <v>是否直接入户</v>
      </c>
      <c r="R33" s="667" t="s">
        <v>14</v>
      </c>
      <c r="S33" s="668">
        <f t="shared" si="12"/>
        <v>100</v>
      </c>
      <c r="T33" s="667" t="s">
        <v>14</v>
      </c>
      <c r="U33" s="668">
        <f t="shared" si="13"/>
        <v>100</v>
      </c>
      <c r="V33" s="667" t="s">
        <v>14</v>
      </c>
      <c r="W33" s="668">
        <f t="shared" si="14"/>
        <v>100</v>
      </c>
      <c r="X33" s="1264"/>
      <c r="Y33" s="346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69"/>
      <c r="Q34" s="1262">
        <f t="shared" si="11"/>
        <v>111</v>
      </c>
      <c r="R34" s="667" t="s">
        <v>14</v>
      </c>
      <c r="S34" s="668">
        <f t="shared" si="12"/>
        <v>100</v>
      </c>
      <c r="T34" s="667" t="s">
        <v>14</v>
      </c>
      <c r="U34" s="668">
        <f t="shared" si="13"/>
        <v>100</v>
      </c>
      <c r="V34" s="667" t="s">
        <v>14</v>
      </c>
      <c r="W34" s="668">
        <f t="shared" si="14"/>
        <v>100</v>
      </c>
      <c r="X34" s="1264"/>
      <c r="Y34" s="346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69"/>
      <c r="Q35" s="531">
        <f t="shared" si="11"/>
        <v>111</v>
      </c>
      <c r="R35" s="669" t="s">
        <v>14</v>
      </c>
      <c r="S35" s="670">
        <f t="shared" si="12"/>
        <v>100</v>
      </c>
      <c r="T35" s="669" t="s">
        <v>14</v>
      </c>
      <c r="U35" s="670">
        <f t="shared" si="13"/>
        <v>100</v>
      </c>
      <c r="V35" s="669" t="s">
        <v>14</v>
      </c>
      <c r="W35" s="670">
        <f t="shared" si="14"/>
        <v>100</v>
      </c>
      <c r="X35" s="671"/>
      <c r="Y35" s="3469"/>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69"/>
      <c r="Q36" s="1262">
        <f t="shared" si="11"/>
        <v>111</v>
      </c>
      <c r="R36" s="667" t="s">
        <v>14</v>
      </c>
      <c r="S36" s="668">
        <f t="shared" si="12"/>
        <v>100</v>
      </c>
      <c r="T36" s="667" t="s">
        <v>14</v>
      </c>
      <c r="U36" s="668">
        <f t="shared" si="13"/>
        <v>100</v>
      </c>
      <c r="V36" s="667" t="s">
        <v>14</v>
      </c>
      <c r="W36" s="668">
        <f t="shared" si="14"/>
        <v>100</v>
      </c>
      <c r="X36" s="1264"/>
      <c r="Y36" s="3469"/>
      <c r="Z36" s="1263">
        <f t="shared" si="15"/>
        <v>111</v>
      </c>
      <c r="AA36" s="1263">
        <f t="shared" si="3"/>
        <v>1</v>
      </c>
      <c r="AB36" s="1263">
        <f t="shared" si="4"/>
        <v>1</v>
      </c>
      <c r="AC36" s="1263">
        <f t="shared" si="5"/>
        <v>1</v>
      </c>
    </row>
    <row r="37" spans="1:29" ht="15">
      <c r="A37" s="416" t="s">
        <v>1838</v>
      </c>
      <c r="B37" s="1817" t="s">
        <v>3352</v>
      </c>
      <c r="C37" s="1081" t="s">
        <v>0</v>
      </c>
      <c r="D37" s="418"/>
      <c r="E37" s="419"/>
      <c r="F37" s="420"/>
      <c r="G37" s="421"/>
      <c r="H37" s="422"/>
      <c r="I37" s="419"/>
      <c r="J37" s="422"/>
      <c r="K37" s="545"/>
      <c r="L37" s="2489"/>
      <c r="M37" s="2482"/>
      <c r="N37" s="2482"/>
      <c r="O37" s="2482"/>
      <c r="P37" s="3462" t="str">
        <f>A37</f>
        <v>成交单价</v>
      </c>
      <c r="Q37" s="3462"/>
      <c r="R37" s="3463">
        <f>E37</f>
        <v>0</v>
      </c>
      <c r="S37" s="3463"/>
      <c r="T37" s="3463">
        <f>G37</f>
        <v>0</v>
      </c>
      <c r="U37" s="3463"/>
      <c r="V37" s="3463">
        <f>I37</f>
        <v>0</v>
      </c>
      <c r="W37" s="3463"/>
      <c r="X37" s="385"/>
      <c r="Y37" s="673"/>
      <c r="Z37" s="385"/>
      <c r="AA37" s="385"/>
      <c r="AB37" s="385"/>
      <c r="AC37" s="385"/>
    </row>
    <row r="38" spans="1:29" ht="15.75" thickBot="1">
      <c r="A38" s="423" t="s">
        <v>1839</v>
      </c>
      <c r="B38" s="424" t="str">
        <f>B37</f>
        <v>元/平方米</v>
      </c>
      <c r="C38" s="1082" t="e">
        <f>R39</f>
        <v>#DIV/0!</v>
      </c>
      <c r="D38" s="2137" t="s">
        <v>2132</v>
      </c>
      <c r="E38" s="1083" t="e">
        <f>R38</f>
        <v>#DIV/0!</v>
      </c>
      <c r="F38" s="2138"/>
      <c r="G38" s="1082" t="e">
        <f>T38</f>
        <v>#DIV/0!</v>
      </c>
      <c r="H38" s="2138"/>
      <c r="I38" s="1083" t="e">
        <f>V38</f>
        <v>#DIV/0!</v>
      </c>
      <c r="J38" s="2138"/>
      <c r="K38" s="2140">
        <f>F38+H38+J38</f>
        <v>0</v>
      </c>
      <c r="L38" s="2489"/>
      <c r="M38" s="2482"/>
      <c r="N38" s="2482"/>
      <c r="O38" s="2482"/>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385"/>
      <c r="Y38" s="385"/>
      <c r="Z38" s="385"/>
      <c r="AA38" s="385"/>
      <c r="AB38" s="385"/>
      <c r="AC38" s="385"/>
    </row>
    <row r="39" spans="1:29" ht="15.75" thickBot="1">
      <c r="A39" s="427" t="s">
        <v>1840</v>
      </c>
      <c r="B39" s="428"/>
      <c r="C39" s="351" t="e">
        <f>R39</f>
        <v>#DIV/0!</v>
      </c>
      <c r="D39" s="351"/>
      <c r="E39" s="351"/>
      <c r="F39" s="351"/>
      <c r="G39" s="351"/>
      <c r="H39" s="351"/>
      <c r="I39" s="351"/>
      <c r="J39" s="351"/>
      <c r="K39" s="546"/>
      <c r="L39" s="2489"/>
      <c r="M39" s="2482"/>
      <c r="N39" s="2482"/>
      <c r="O39" s="2482"/>
      <c r="P39" s="3459" t="str">
        <f>A39</f>
        <v>估价对象XX用房的比较价值（楼面单价，元/平方米）</v>
      </c>
      <c r="Q39" s="3460"/>
      <c r="R39" s="3554" t="e">
        <f>IF(F1="售价",ROUND(IF(D38="简单平均",AVERAGE(R38:W38),R38*F38+T38*H38+V38*J38),0),ROUND(IF(D38="简单平均",AVERAGE(R38:V38),R38*F38+T38*H38+V38*J38),1))</f>
        <v>#DIV/0!</v>
      </c>
      <c r="S39" s="3554"/>
      <c r="T39" s="3554"/>
      <c r="U39" s="3554"/>
      <c r="V39" s="3554"/>
      <c r="W39" s="3554"/>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7" t="s">
        <v>1844</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5">
      <c r="A48" s="440" t="s">
        <v>1845</v>
      </c>
      <c r="B48" s="441"/>
      <c r="C48" s="1102" t="str">
        <f>YEAR(C7)&amp;"-"&amp;MONTH(C7)</f>
        <v>2023-12</v>
      </c>
      <c r="D48" s="1103">
        <f>EDATE(C48,-1)</f>
        <v>45231</v>
      </c>
      <c r="E48" s="1103">
        <f t="shared" ref="E48:O48" si="16">EDATE(D48,-1)</f>
        <v>45200</v>
      </c>
      <c r="F48" s="1103">
        <f t="shared" si="16"/>
        <v>45170</v>
      </c>
      <c r="G48" s="1103">
        <f t="shared" si="16"/>
        <v>45139</v>
      </c>
      <c r="H48" s="1103">
        <f t="shared" si="16"/>
        <v>45108</v>
      </c>
      <c r="I48" s="1103">
        <f t="shared" si="16"/>
        <v>45078</v>
      </c>
      <c r="J48" s="1103">
        <f t="shared" si="16"/>
        <v>45047</v>
      </c>
      <c r="K48" s="1103">
        <f t="shared" si="16"/>
        <v>45017</v>
      </c>
      <c r="L48" s="1103">
        <f t="shared" si="16"/>
        <v>44986</v>
      </c>
      <c r="M48" s="1103">
        <f t="shared" si="16"/>
        <v>44958</v>
      </c>
      <c r="N48" s="1103">
        <f t="shared" si="16"/>
        <v>44927</v>
      </c>
      <c r="O48" s="1103">
        <f t="shared" si="16"/>
        <v>44896</v>
      </c>
      <c r="P48" s="2522"/>
      <c r="Q48" s="2505"/>
      <c r="R48" s="2505"/>
      <c r="S48" s="2505"/>
      <c r="T48" s="2505"/>
      <c r="U48" s="2505"/>
      <c r="V48" s="2505"/>
      <c r="W48" s="2505"/>
      <c r="X48" s="2505"/>
      <c r="Y48" s="2505"/>
      <c r="Z48" s="2505"/>
      <c r="AA48" s="2505"/>
      <c r="AB48" s="2505"/>
      <c r="AC48" s="2505"/>
    </row>
    <row r="49" spans="1:29" s="102" customFormat="1" ht="15">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75" thickBot="1">
      <c r="A50" s="449" t="s">
        <v>1710</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5">
      <c r="A51" s="455" t="s">
        <v>1675</v>
      </c>
      <c r="B51" s="444"/>
      <c r="C51" s="456" t="s">
        <v>1770</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c r="A53" s="379" t="s">
        <v>1713</v>
      </c>
      <c r="B53" s="460" t="s">
        <v>1679</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1682</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1684</v>
      </c>
      <c r="B63" s="460" t="s">
        <v>1720</v>
      </c>
      <c r="C63" s="504" t="s">
        <v>1715</v>
      </c>
      <c r="D63" s="504" t="s">
        <v>1716</v>
      </c>
      <c r="E63" s="504" t="s">
        <v>1717</v>
      </c>
      <c r="F63" s="504" t="s">
        <v>1718</v>
      </c>
      <c r="G63" s="504" t="s">
        <v>1719</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1721</v>
      </c>
      <c r="C65" s="509" t="s">
        <v>1715</v>
      </c>
      <c r="D65" s="509" t="s">
        <v>1716</v>
      </c>
      <c r="E65" s="509" t="s">
        <v>1717</v>
      </c>
      <c r="F65" s="509" t="s">
        <v>1718</v>
      </c>
      <c r="G65" s="509" t="s">
        <v>1719</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1807</v>
      </c>
      <c r="C67" s="581" t="s">
        <v>1793</v>
      </c>
      <c r="D67" s="581" t="s">
        <v>1794</v>
      </c>
      <c r="E67" s="581" t="s">
        <v>1795</v>
      </c>
      <c r="F67" s="581" t="s">
        <v>1796</v>
      </c>
      <c r="G67" s="581" t="s">
        <v>1797</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1727</v>
      </c>
      <c r="C69" s="509" t="s">
        <v>1715</v>
      </c>
      <c r="D69" s="509" t="s">
        <v>1716</v>
      </c>
      <c r="E69" s="509" t="s">
        <v>1717</v>
      </c>
      <c r="F69" s="509" t="s">
        <v>1718</v>
      </c>
      <c r="G69" s="509" t="s">
        <v>1719</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1846</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1688</v>
      </c>
      <c r="B79" s="460" t="s">
        <v>1847</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1848</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1734</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1849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1850</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1852</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1853</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1825</v>
      </c>
      <c r="B1" s="1139" t="s">
        <v>3332</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t="e">
        <f>IF(C2="——",C37,ROUND(B2*10000/D3,0))</f>
        <v>#DIV/0!</v>
      </c>
      <c r="C3" s="344" t="s">
        <v>1762</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77" t="s">
        <v>1764</v>
      </c>
      <c r="D4" s="3478"/>
      <c r="E4" s="3479" t="s">
        <v>1765</v>
      </c>
      <c r="F4" s="3480"/>
      <c r="G4" s="3477" t="s">
        <v>1766</v>
      </c>
      <c r="H4" s="3478"/>
      <c r="I4" s="3477" t="s">
        <v>1767</v>
      </c>
      <c r="J4" s="3478"/>
      <c r="K4" s="537" t="s">
        <v>1768</v>
      </c>
      <c r="L4" s="2481"/>
      <c r="M4" s="2482"/>
      <c r="N4" s="2482"/>
      <c r="O4" s="2482"/>
      <c r="P4" s="3481" t="s">
        <v>1769</v>
      </c>
      <c r="Q4" s="3482"/>
      <c r="R4" s="3487" t="s">
        <v>1765</v>
      </c>
      <c r="S4" s="3488"/>
      <c r="T4" s="3487" t="s">
        <v>1766</v>
      </c>
      <c r="U4" s="3488"/>
      <c r="V4" s="3463" t="s">
        <v>1767</v>
      </c>
      <c r="W4" s="3463"/>
      <c r="X4" s="1264"/>
      <c r="Y4" s="3487" t="s">
        <v>1769</v>
      </c>
      <c r="Z4" s="3488"/>
      <c r="AA4" s="3474" t="s">
        <v>1765</v>
      </c>
      <c r="AB4" s="3475" t="s">
        <v>1766</v>
      </c>
      <c r="AC4" s="3474" t="s">
        <v>1767</v>
      </c>
    </row>
    <row r="5" spans="1:29" ht="15">
      <c r="A5" s="348"/>
      <c r="B5" s="349"/>
      <c r="C5" s="3511" t="s">
        <v>1667</v>
      </c>
      <c r="D5" s="3496"/>
      <c r="E5" s="3512" t="s">
        <v>1668</v>
      </c>
      <c r="F5" s="3503"/>
      <c r="G5" s="3511" t="s">
        <v>1669</v>
      </c>
      <c r="H5" s="3496"/>
      <c r="I5" s="3511" t="s">
        <v>1670</v>
      </c>
      <c r="J5" s="3496"/>
      <c r="K5" s="537"/>
      <c r="L5" s="2481"/>
      <c r="M5" s="2482"/>
      <c r="N5" s="2482"/>
      <c r="O5" s="2482"/>
      <c r="P5" s="3483"/>
      <c r="Q5" s="3484"/>
      <c r="R5" s="3489"/>
      <c r="S5" s="3490"/>
      <c r="T5" s="3489"/>
      <c r="U5" s="3490"/>
      <c r="V5" s="3463"/>
      <c r="W5" s="3463"/>
      <c r="X5" s="1264"/>
      <c r="Y5" s="3489"/>
      <c r="Z5" s="3490"/>
      <c r="AA5" s="3475"/>
      <c r="AB5" s="3475"/>
      <c r="AC5" s="3475"/>
    </row>
    <row r="6" spans="1:29" ht="15.75" thickBot="1">
      <c r="A6" s="350"/>
      <c r="B6" s="351"/>
      <c r="C6" s="3493" t="s">
        <v>1671</v>
      </c>
      <c r="D6" s="3494"/>
      <c r="E6" s="3500" t="s">
        <v>1671</v>
      </c>
      <c r="F6" s="3501"/>
      <c r="G6" s="3493" t="s">
        <v>1671</v>
      </c>
      <c r="H6" s="3494"/>
      <c r="I6" s="3493" t="s">
        <v>1671</v>
      </c>
      <c r="J6" s="3494"/>
      <c r="K6" s="537" t="s">
        <v>1672</v>
      </c>
      <c r="L6" s="2481"/>
      <c r="M6" s="2482"/>
      <c r="N6" s="2482"/>
      <c r="O6" s="2482"/>
      <c r="P6" s="3485"/>
      <c r="Q6" s="3486"/>
      <c r="R6" s="3489"/>
      <c r="S6" s="3490"/>
      <c r="T6" s="3491"/>
      <c r="U6" s="3492"/>
      <c r="V6" s="3463"/>
      <c r="W6" s="3463"/>
      <c r="X6" s="1264"/>
      <c r="Y6" s="3491"/>
      <c r="Z6" s="3492"/>
      <c r="AA6" s="3476"/>
      <c r="AB6" s="3476"/>
      <c r="AC6" s="3476"/>
    </row>
    <row r="7" spans="1:29" s="102" customFormat="1" ht="15.75" thickBot="1">
      <c r="A7" s="352" t="s">
        <v>1673</v>
      </c>
      <c r="B7" s="353"/>
      <c r="C7" s="354">
        <f>'数据-取费表'!B2</f>
        <v>45291</v>
      </c>
      <c r="D7" s="355">
        <v>100</v>
      </c>
      <c r="E7" s="356"/>
      <c r="F7" s="357">
        <f>SUMIF(46:46,YEAR(E7)&amp;"-"&amp;MONTH(E7),47:47)</f>
        <v>0</v>
      </c>
      <c r="G7" s="1818"/>
      <c r="H7" s="355">
        <f>SUMIF(46:46,YEAR(G7)&amp;"-"&amp;MONTH(G7),47:47)</f>
        <v>0</v>
      </c>
      <c r="I7" s="356"/>
      <c r="J7" s="355">
        <f>SUMIF(46:46,YEAR(I7)&amp;"-"&amp;MONTH(I7),47:47)</f>
        <v>0</v>
      </c>
      <c r="K7" s="38"/>
      <c r="L7" s="2483"/>
      <c r="M7" s="2435"/>
      <c r="N7" s="2435"/>
      <c r="O7" s="2435"/>
      <c r="P7" s="3497" t="s">
        <v>1674</v>
      </c>
      <c r="Q7" s="3499"/>
      <c r="R7" s="664" t="s">
        <v>14</v>
      </c>
      <c r="S7" s="665">
        <f t="shared" ref="S7:S14" si="0">F7</f>
        <v>0</v>
      </c>
      <c r="T7" s="664" t="s">
        <v>14</v>
      </c>
      <c r="U7" s="665">
        <f t="shared" ref="U7:U14" si="1">H7</f>
        <v>0</v>
      </c>
      <c r="V7" s="664" t="s">
        <v>14</v>
      </c>
      <c r="W7" s="665">
        <f t="shared" ref="W7:W14" si="2">J7</f>
        <v>0</v>
      </c>
      <c r="X7" s="666"/>
      <c r="Y7" s="3497" t="s">
        <v>1674</v>
      </c>
      <c r="Z7" s="3498"/>
      <c r="AA7" s="50" t="e">
        <f>D7/F7</f>
        <v>#DIV/0!</v>
      </c>
      <c r="AB7" s="50" t="e">
        <f>D7/H7</f>
        <v>#DIV/0!</v>
      </c>
      <c r="AC7" s="50" t="e">
        <f>D7/J7</f>
        <v>#DIV/0!</v>
      </c>
    </row>
    <row r="8" spans="1:29" s="102" customFormat="1" ht="15.75" thickBot="1">
      <c r="A8" s="352" t="s">
        <v>1675</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97" t="s">
        <v>1677</v>
      </c>
      <c r="Q8" s="3498"/>
      <c r="R8" s="664" t="s">
        <v>14</v>
      </c>
      <c r="S8" s="665">
        <f t="shared" si="0"/>
        <v>100</v>
      </c>
      <c r="T8" s="664" t="s">
        <v>14</v>
      </c>
      <c r="U8" s="665">
        <f t="shared" si="1"/>
        <v>100</v>
      </c>
      <c r="V8" s="664" t="s">
        <v>14</v>
      </c>
      <c r="W8" s="665">
        <f t="shared" si="2"/>
        <v>100</v>
      </c>
      <c r="X8" s="666"/>
      <c r="Y8" s="3497" t="s">
        <v>1677</v>
      </c>
      <c r="Z8" s="3498"/>
      <c r="AA8" s="50">
        <f t="shared" ref="AA8:AA34" si="3">D8/F8</f>
        <v>1</v>
      </c>
      <c r="AB8" s="50">
        <f t="shared" ref="AB8:AB34" si="4">D8/H8</f>
        <v>1</v>
      </c>
      <c r="AC8" s="50">
        <f t="shared" ref="AC8:AC34" si="5">D8/J8</f>
        <v>1</v>
      </c>
    </row>
    <row r="9" spans="1:29" s="102" customFormat="1">
      <c r="A9" s="359" t="s">
        <v>1678</v>
      </c>
      <c r="B9" s="60" t="s">
        <v>1679</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462" t="s">
        <v>1680</v>
      </c>
      <c r="Q9" s="530" t="str">
        <f t="shared" ref="Q9:Q14" si="6">B9</f>
        <v>用途</v>
      </c>
      <c r="R9" s="664" t="s">
        <v>14</v>
      </c>
      <c r="S9" s="665">
        <f t="shared" si="0"/>
        <v>100</v>
      </c>
      <c r="T9" s="664" t="s">
        <v>14</v>
      </c>
      <c r="U9" s="665">
        <f t="shared" si="1"/>
        <v>100</v>
      </c>
      <c r="V9" s="664" t="s">
        <v>14</v>
      </c>
      <c r="W9" s="665">
        <f t="shared" si="2"/>
        <v>100</v>
      </c>
      <c r="X9" s="666"/>
      <c r="Y9" s="3366" t="s">
        <v>1681</v>
      </c>
      <c r="Z9" s="50" t="str">
        <f t="shared" ref="Z9:Z14" si="7">Q9</f>
        <v>用途</v>
      </c>
      <c r="AA9" s="50">
        <f t="shared" si="3"/>
        <v>1</v>
      </c>
      <c r="AB9" s="50">
        <f t="shared" si="4"/>
        <v>1</v>
      </c>
      <c r="AC9" s="50">
        <f t="shared" si="5"/>
        <v>1</v>
      </c>
    </row>
    <row r="10" spans="1:29" s="366" customFormat="1" ht="27">
      <c r="A10" s="363"/>
      <c r="B10" s="364" t="s">
        <v>1682</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62"/>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62"/>
      <c r="Q11" s="530">
        <f t="shared" si="6"/>
        <v>111</v>
      </c>
      <c r="R11" s="664" t="s">
        <v>14</v>
      </c>
      <c r="S11" s="665">
        <f t="shared" si="0"/>
        <v>100</v>
      </c>
      <c r="T11" s="664" t="s">
        <v>14</v>
      </c>
      <c r="U11" s="665">
        <f t="shared" si="1"/>
        <v>100</v>
      </c>
      <c r="V11" s="664" t="s">
        <v>14</v>
      </c>
      <c r="W11" s="665">
        <f t="shared" si="2"/>
        <v>100</v>
      </c>
      <c r="X11" s="666"/>
      <c r="Y11" s="33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462"/>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7"/>
      <c r="M13" s="2482"/>
      <c r="N13" s="2482"/>
      <c r="O13" s="2537"/>
      <c r="P13" s="3462"/>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85.5">
      <c r="A14" s="379" t="s">
        <v>1684</v>
      </c>
      <c r="B14" s="58" t="s">
        <v>1827</v>
      </c>
      <c r="C14" s="1815"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64" t="s">
        <v>1685</v>
      </c>
      <c r="Q14" s="1262" t="str">
        <f t="shared" si="6"/>
        <v>交通便捷度</v>
      </c>
      <c r="R14" s="667" t="s">
        <v>14</v>
      </c>
      <c r="S14" s="668">
        <f t="shared" si="0"/>
        <v>100</v>
      </c>
      <c r="T14" s="667" t="s">
        <v>14</v>
      </c>
      <c r="U14" s="668">
        <f t="shared" si="1"/>
        <v>100</v>
      </c>
      <c r="V14" s="667" t="s">
        <v>14</v>
      </c>
      <c r="W14" s="668">
        <f t="shared" si="2"/>
        <v>100</v>
      </c>
      <c r="X14" s="1264"/>
      <c r="Y14" s="3464" t="s">
        <v>1685</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465"/>
      <c r="Q15" s="1262"/>
      <c r="R15" s="667"/>
      <c r="S15" s="668"/>
      <c r="T15" s="667"/>
      <c r="U15" s="668"/>
      <c r="V15" s="667"/>
      <c r="W15" s="668"/>
      <c r="X15" s="1264"/>
      <c r="Y15" s="3465"/>
      <c r="Z15" s="1263"/>
      <c r="AA15" s="1263">
        <v>1</v>
      </c>
      <c r="AB15" s="1263">
        <v>1</v>
      </c>
      <c r="AC15" s="1263">
        <v>1</v>
      </c>
    </row>
    <row r="16" spans="1:29" ht="42.75">
      <c r="A16" s="367"/>
      <c r="B16" s="390" t="s">
        <v>1806</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65"/>
      <c r="Q16" s="1262" t="str">
        <f>B16</f>
        <v>公共配套设施</v>
      </c>
      <c r="R16" s="667" t="s">
        <v>14</v>
      </c>
      <c r="S16" s="668">
        <f>F16</f>
        <v>100</v>
      </c>
      <c r="T16" s="667" t="s">
        <v>14</v>
      </c>
      <c r="U16" s="668">
        <f>H16</f>
        <v>100</v>
      </c>
      <c r="V16" s="667" t="s">
        <v>14</v>
      </c>
      <c r="W16" s="668">
        <f>J16</f>
        <v>100</v>
      </c>
      <c r="X16" s="1264"/>
      <c r="Y16" s="3465"/>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7"/>
      <c r="M17" s="2482"/>
      <c r="N17" s="2482"/>
      <c r="O17" s="2537"/>
      <c r="P17" s="3465"/>
      <c r="Q17" s="1262"/>
      <c r="R17" s="667"/>
      <c r="S17" s="668"/>
      <c r="T17" s="667"/>
      <c r="U17" s="668"/>
      <c r="V17" s="667"/>
      <c r="W17" s="668"/>
      <c r="X17" s="1264"/>
      <c r="Y17" s="3465"/>
      <c r="Z17" s="1263"/>
      <c r="AA17" s="1263">
        <v>1</v>
      </c>
      <c r="AB17" s="1263">
        <v>1</v>
      </c>
      <c r="AC17" s="1263">
        <v>1</v>
      </c>
    </row>
    <row r="18" spans="1:29" ht="28.5">
      <c r="A18" s="367"/>
      <c r="B18" s="586" t="s">
        <v>1807</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65"/>
      <c r="Q18" s="1262" t="str">
        <f>B18</f>
        <v>基础设施水平</v>
      </c>
      <c r="R18" s="667" t="s">
        <v>14</v>
      </c>
      <c r="S18" s="668">
        <f>F18</f>
        <v>100</v>
      </c>
      <c r="T18" s="667" t="s">
        <v>14</v>
      </c>
      <c r="U18" s="668">
        <f>H18</f>
        <v>100</v>
      </c>
      <c r="V18" s="667" t="s">
        <v>14</v>
      </c>
      <c r="W18" s="668">
        <f>J18</f>
        <v>100</v>
      </c>
      <c r="X18" s="1264"/>
      <c r="Y18" s="3465"/>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7"/>
      <c r="M19" s="2482"/>
      <c r="N19" s="2482"/>
      <c r="O19" s="2537"/>
      <c r="P19" s="3465"/>
      <c r="Q19" s="1262"/>
      <c r="R19" s="667"/>
      <c r="S19" s="668"/>
      <c r="T19" s="667"/>
      <c r="U19" s="668"/>
      <c r="V19" s="667"/>
      <c r="W19" s="668"/>
      <c r="X19" s="1264"/>
      <c r="Y19" s="3465"/>
      <c r="Z19" s="1263"/>
      <c r="AA19" s="1263">
        <v>1</v>
      </c>
      <c r="AB19" s="1263">
        <v>1</v>
      </c>
      <c r="AC19" s="1263">
        <v>1</v>
      </c>
    </row>
    <row r="20" spans="1:29" ht="57">
      <c r="A20" s="367"/>
      <c r="B20" s="390" t="s">
        <v>1828</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65"/>
      <c r="Q20" s="1262" t="str">
        <f>B20</f>
        <v>自然及人文环境</v>
      </c>
      <c r="R20" s="667" t="s">
        <v>14</v>
      </c>
      <c r="S20" s="668">
        <f>F20</f>
        <v>100</v>
      </c>
      <c r="T20" s="667" t="s">
        <v>14</v>
      </c>
      <c r="U20" s="668">
        <f>H20</f>
        <v>100</v>
      </c>
      <c r="V20" s="667" t="s">
        <v>14</v>
      </c>
      <c r="W20" s="668">
        <f>J20</f>
        <v>100</v>
      </c>
      <c r="X20" s="1264"/>
      <c r="Y20" s="346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465"/>
      <c r="Q21" s="1262"/>
      <c r="R21" s="667"/>
      <c r="S21" s="668"/>
      <c r="T21" s="667"/>
      <c r="U21" s="668"/>
      <c r="V21" s="667"/>
      <c r="W21" s="668"/>
      <c r="X21" s="1264"/>
      <c r="Y21" s="3465"/>
      <c r="Z21" s="1263"/>
      <c r="AA21" s="1263">
        <v>1</v>
      </c>
      <c r="AB21" s="1263">
        <v>1</v>
      </c>
      <c r="AC21" s="1263">
        <v>1</v>
      </c>
    </row>
    <row r="22" spans="1:29" ht="15">
      <c r="A22" s="367"/>
      <c r="B22" s="390" t="s">
        <v>1829</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65"/>
      <c r="Q22" s="1262" t="str">
        <f>B22</f>
        <v>楼层</v>
      </c>
      <c r="R22" s="667" t="s">
        <v>14</v>
      </c>
      <c r="S22" s="668">
        <f>F22</f>
        <v>100</v>
      </c>
      <c r="T22" s="667" t="s">
        <v>14</v>
      </c>
      <c r="U22" s="668">
        <f>H22</f>
        <v>100</v>
      </c>
      <c r="V22" s="667" t="s">
        <v>14</v>
      </c>
      <c r="W22" s="668">
        <f>J22</f>
        <v>100</v>
      </c>
      <c r="X22" s="1264"/>
      <c r="Y22" s="346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65"/>
      <c r="Q23" s="1262">
        <f>B23</f>
        <v>111</v>
      </c>
      <c r="R23" s="667" t="s">
        <v>14</v>
      </c>
      <c r="S23" s="668">
        <f>F23</f>
        <v>100</v>
      </c>
      <c r="T23" s="667" t="s">
        <v>14</v>
      </c>
      <c r="U23" s="668">
        <f>H23</f>
        <v>100</v>
      </c>
      <c r="V23" s="667" t="s">
        <v>14</v>
      </c>
      <c r="W23" s="668">
        <f>J23</f>
        <v>100</v>
      </c>
      <c r="X23" s="1264"/>
      <c r="Y23" s="346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65"/>
      <c r="Q24" s="1262">
        <f t="shared" ref="Q24:Q34" si="11">B24</f>
        <v>111</v>
      </c>
      <c r="R24" s="667" t="s">
        <v>14</v>
      </c>
      <c r="S24" s="668">
        <f>F24</f>
        <v>100</v>
      </c>
      <c r="T24" s="667" t="s">
        <v>14</v>
      </c>
      <c r="U24" s="668">
        <f>H24</f>
        <v>100</v>
      </c>
      <c r="V24" s="667" t="s">
        <v>14</v>
      </c>
      <c r="W24" s="668">
        <f>J24</f>
        <v>100</v>
      </c>
      <c r="X24" s="1264"/>
      <c r="Y24" s="3465"/>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3"/>
      <c r="M25" s="2435"/>
      <c r="N25" s="2435"/>
      <c r="O25" s="2535"/>
      <c r="P25" s="3465"/>
      <c r="Q25" s="530">
        <f t="shared" si="11"/>
        <v>111</v>
      </c>
      <c r="R25" s="664" t="s">
        <v>14</v>
      </c>
      <c r="S25" s="665">
        <f>F25</f>
        <v>100</v>
      </c>
      <c r="T25" s="664" t="s">
        <v>14</v>
      </c>
      <c r="U25" s="665">
        <f>H25</f>
        <v>100</v>
      </c>
      <c r="V25" s="664" t="s">
        <v>14</v>
      </c>
      <c r="W25" s="665">
        <f>J25</f>
        <v>100</v>
      </c>
      <c r="X25" s="666"/>
      <c r="Y25" s="3465"/>
      <c r="Z25" s="50">
        <f>Q25</f>
        <v>111</v>
      </c>
      <c r="AA25" s="1263">
        <f>D25/F25</f>
        <v>1</v>
      </c>
      <c r="AB25" s="1263">
        <f>D25/H25</f>
        <v>1</v>
      </c>
      <c r="AC25" s="1263">
        <f>D25/J25</f>
        <v>1</v>
      </c>
    </row>
    <row r="26" spans="1:29" ht="28.5">
      <c r="A26" s="404" t="s">
        <v>1688</v>
      </c>
      <c r="B26" s="60" t="s">
        <v>1832</v>
      </c>
      <c r="C26" s="1762"/>
      <c r="D26" s="405">
        <v>100</v>
      </c>
      <c r="E26" s="1762"/>
      <c r="F26" s="587">
        <f>SUMIF(77:77,E26,78:78)-SUMIF(77:77,C26,78:78)+100</f>
        <v>100</v>
      </c>
      <c r="G26" s="1762"/>
      <c r="H26" s="405">
        <f>SUMIF(77:77,G26,78:78)-SUMIF(77:77,C26,78:78)+100</f>
        <v>100</v>
      </c>
      <c r="I26" s="1762"/>
      <c r="J26" s="405">
        <f>SUMIF(77:77,I26,78:78)-SUMIF(77:77,C26,78:78)+100</f>
        <v>100</v>
      </c>
      <c r="K26" s="538"/>
      <c r="L26" s="2487"/>
      <c r="M26" s="2482"/>
      <c r="N26" s="2482"/>
      <c r="O26" s="2537"/>
      <c r="P26" s="3510" t="s">
        <v>1690</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69" t="s">
        <v>1690</v>
      </c>
      <c r="Z26" s="1263" t="str">
        <f t="shared" ref="Z26:Z34" si="15">Q26</f>
        <v>公共部分装修</v>
      </c>
      <c r="AA26" s="1263">
        <f t="shared" si="3"/>
        <v>1</v>
      </c>
      <c r="AB26" s="1263">
        <f t="shared" si="4"/>
        <v>1</v>
      </c>
      <c r="AC26" s="1263">
        <f t="shared" si="5"/>
        <v>1</v>
      </c>
    </row>
    <row r="27" spans="1:29" s="408" customFormat="1" ht="15">
      <c r="A27" s="406"/>
      <c r="B27" s="364" t="s">
        <v>1833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69"/>
      <c r="Q27" s="531" t="str">
        <f t="shared" si="11"/>
        <v>成新率</v>
      </c>
      <c r="R27" s="669" t="s">
        <v>14</v>
      </c>
      <c r="S27" s="670" t="e">
        <f t="shared" si="12"/>
        <v>#N/A</v>
      </c>
      <c r="T27" s="669" t="s">
        <v>14</v>
      </c>
      <c r="U27" s="670" t="e">
        <f t="shared" si="13"/>
        <v>#N/A</v>
      </c>
      <c r="V27" s="669" t="s">
        <v>14</v>
      </c>
      <c r="W27" s="670" t="e">
        <f t="shared" si="14"/>
        <v>#N/A</v>
      </c>
      <c r="X27" s="671"/>
      <c r="Y27" s="3469"/>
      <c r="Z27" s="672" t="str">
        <f t="shared" si="15"/>
        <v>成新率</v>
      </c>
      <c r="AA27" s="1263" t="e">
        <f t="shared" si="3"/>
        <v>#N/A</v>
      </c>
      <c r="AB27" s="1263" t="e">
        <f t="shared" si="4"/>
        <v>#N/A</v>
      </c>
      <c r="AC27" s="1263" t="e">
        <f t="shared" si="5"/>
        <v>#N/A</v>
      </c>
    </row>
    <row r="28" spans="1:29" ht="15">
      <c r="A28" s="409"/>
      <c r="B28" s="364" t="s">
        <v>1834</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69"/>
      <c r="Q28" s="1262" t="str">
        <f t="shared" si="11"/>
        <v>物业等级</v>
      </c>
      <c r="R28" s="667" t="s">
        <v>14</v>
      </c>
      <c r="S28" s="668">
        <f t="shared" si="12"/>
        <v>100</v>
      </c>
      <c r="T28" s="667" t="s">
        <v>14</v>
      </c>
      <c r="U28" s="668">
        <f t="shared" si="13"/>
        <v>100</v>
      </c>
      <c r="V28" s="667" t="s">
        <v>14</v>
      </c>
      <c r="W28" s="668">
        <f t="shared" si="14"/>
        <v>100</v>
      </c>
      <c r="X28" s="1264"/>
      <c r="Y28" s="3469"/>
      <c r="Z28" s="1263" t="str">
        <f t="shared" si="15"/>
        <v>物业等级</v>
      </c>
      <c r="AA28" s="1263">
        <f t="shared" si="3"/>
        <v>1</v>
      </c>
      <c r="AB28" s="1263">
        <f t="shared" si="4"/>
        <v>1</v>
      </c>
      <c r="AC28" s="1263">
        <f t="shared" si="5"/>
        <v>1</v>
      </c>
    </row>
    <row r="29" spans="1:29" ht="15">
      <c r="A29" s="409"/>
      <c r="B29" s="364" t="s">
        <v>1854</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69"/>
      <c r="Q29" s="1262" t="str">
        <f t="shared" si="11"/>
        <v>有无电梯</v>
      </c>
      <c r="R29" s="667" t="s">
        <v>14</v>
      </c>
      <c r="S29" s="668">
        <f t="shared" si="12"/>
        <v>100</v>
      </c>
      <c r="T29" s="667" t="s">
        <v>14</v>
      </c>
      <c r="U29" s="668">
        <f t="shared" si="13"/>
        <v>100</v>
      </c>
      <c r="V29" s="667" t="s">
        <v>14</v>
      </c>
      <c r="W29" s="668">
        <f t="shared" si="14"/>
        <v>100</v>
      </c>
      <c r="X29" s="1264"/>
      <c r="Y29" s="3469"/>
      <c r="Z29" s="1263" t="str">
        <f t="shared" si="15"/>
        <v>有无电梯</v>
      </c>
      <c r="AA29" s="1263">
        <f t="shared" si="3"/>
        <v>1</v>
      </c>
      <c r="AB29" s="1263">
        <f t="shared" si="4"/>
        <v>1</v>
      </c>
      <c r="AC29" s="1263">
        <f t="shared" si="5"/>
        <v>1</v>
      </c>
    </row>
    <row r="30" spans="1:29" ht="15">
      <c r="A30" s="409"/>
      <c r="B30" s="364" t="s">
        <v>1855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69"/>
      <c r="Q30" s="1262" t="str">
        <f t="shared" si="11"/>
        <v>建筑面积</v>
      </c>
      <c r="R30" s="667" t="s">
        <v>14</v>
      </c>
      <c r="S30" s="668" t="e">
        <f t="shared" si="12"/>
        <v>#N/A</v>
      </c>
      <c r="T30" s="667" t="s">
        <v>14</v>
      </c>
      <c r="U30" s="668" t="e">
        <f t="shared" si="13"/>
        <v>#N/A</v>
      </c>
      <c r="V30" s="667" t="s">
        <v>14</v>
      </c>
      <c r="W30" s="668" t="e">
        <f t="shared" si="14"/>
        <v>#N/A</v>
      </c>
      <c r="X30" s="1264"/>
      <c r="Y30" s="3469"/>
      <c r="Z30" s="1263" t="str">
        <f t="shared" si="15"/>
        <v>建筑面积</v>
      </c>
      <c r="AA30" s="1263" t="e">
        <f t="shared" si="3"/>
        <v>#N/A</v>
      </c>
      <c r="AB30" s="1263" t="e">
        <f t="shared" si="4"/>
        <v>#N/A</v>
      </c>
      <c r="AC30" s="1263" t="e">
        <f t="shared" si="5"/>
        <v>#N/A</v>
      </c>
    </row>
    <row r="31" spans="1:29" s="102" customFormat="1" ht="15">
      <c r="A31" s="410"/>
      <c r="B31" s="364" t="s">
        <v>1856</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469"/>
      <c r="Q31" s="530" t="str">
        <f t="shared" si="11"/>
        <v>是否封闭</v>
      </c>
      <c r="R31" s="664" t="s">
        <v>14</v>
      </c>
      <c r="S31" s="665">
        <f t="shared" si="12"/>
        <v>100</v>
      </c>
      <c r="T31" s="664" t="s">
        <v>14</v>
      </c>
      <c r="U31" s="665">
        <f t="shared" si="13"/>
        <v>100</v>
      </c>
      <c r="V31" s="664" t="s">
        <v>14</v>
      </c>
      <c r="W31" s="665">
        <f t="shared" si="14"/>
        <v>100</v>
      </c>
      <c r="X31" s="666"/>
      <c r="Y31" s="346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69" t="s">
        <v>1690</v>
      </c>
      <c r="Q32" s="1262">
        <f t="shared" si="11"/>
        <v>111</v>
      </c>
      <c r="R32" s="667" t="s">
        <v>14</v>
      </c>
      <c r="S32" s="668">
        <f t="shared" si="12"/>
        <v>100</v>
      </c>
      <c r="T32" s="667" t="s">
        <v>14</v>
      </c>
      <c r="U32" s="668">
        <f t="shared" si="13"/>
        <v>100</v>
      </c>
      <c r="V32" s="667" t="s">
        <v>14</v>
      </c>
      <c r="W32" s="668">
        <f t="shared" si="14"/>
        <v>100</v>
      </c>
      <c r="X32" s="1264"/>
      <c r="Y32" s="3469" t="s">
        <v>1690</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69"/>
      <c r="Q33" s="1262">
        <f t="shared" si="11"/>
        <v>111</v>
      </c>
      <c r="R33" s="667" t="s">
        <v>14</v>
      </c>
      <c r="S33" s="668">
        <f t="shared" si="12"/>
        <v>100</v>
      </c>
      <c r="T33" s="667" t="s">
        <v>14</v>
      </c>
      <c r="U33" s="668">
        <f t="shared" si="13"/>
        <v>100</v>
      </c>
      <c r="V33" s="667" t="s">
        <v>14</v>
      </c>
      <c r="W33" s="668">
        <f t="shared" si="14"/>
        <v>100</v>
      </c>
      <c r="X33" s="1264"/>
      <c r="Y33" s="3469"/>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7"/>
      <c r="M34" s="2482"/>
      <c r="N34" s="2482"/>
      <c r="O34" s="2537"/>
      <c r="P34" s="3469"/>
      <c r="Q34" s="1262">
        <f t="shared" si="11"/>
        <v>111</v>
      </c>
      <c r="R34" s="667" t="s">
        <v>14</v>
      </c>
      <c r="S34" s="668">
        <f t="shared" si="12"/>
        <v>100</v>
      </c>
      <c r="T34" s="667" t="s">
        <v>14</v>
      </c>
      <c r="U34" s="668">
        <f t="shared" si="13"/>
        <v>100</v>
      </c>
      <c r="V34" s="667" t="s">
        <v>14</v>
      </c>
      <c r="W34" s="668">
        <f t="shared" si="14"/>
        <v>100</v>
      </c>
      <c r="X34" s="1264"/>
      <c r="Y34" s="3469"/>
      <c r="Z34" s="1263">
        <f t="shared" si="15"/>
        <v>111</v>
      </c>
      <c r="AA34" s="1263">
        <f t="shared" si="3"/>
        <v>1</v>
      </c>
      <c r="AB34" s="1263">
        <f t="shared" si="4"/>
        <v>1</v>
      </c>
      <c r="AC34" s="1263">
        <f t="shared" si="5"/>
        <v>1</v>
      </c>
    </row>
    <row r="35" spans="1:30" ht="15">
      <c r="A35" s="416" t="s">
        <v>1702</v>
      </c>
      <c r="B35" s="417"/>
      <c r="C35" s="1081" t="s">
        <v>0</v>
      </c>
      <c r="D35" s="418"/>
      <c r="E35" s="419"/>
      <c r="F35" s="420"/>
      <c r="G35" s="421"/>
      <c r="H35" s="422"/>
      <c r="I35" s="419"/>
      <c r="J35" s="422"/>
      <c r="K35" s="674"/>
      <c r="L35" s="2489"/>
      <c r="M35" s="2482"/>
      <c r="N35" s="2482"/>
      <c r="O35" s="2482"/>
      <c r="P35" s="3462" t="str">
        <f>A35</f>
        <v>成交单价（元/平方米）</v>
      </c>
      <c r="Q35" s="3462"/>
      <c r="R35" s="3463">
        <f>E35</f>
        <v>0</v>
      </c>
      <c r="S35" s="3463"/>
      <c r="T35" s="3463">
        <f>G35</f>
        <v>0</v>
      </c>
      <c r="U35" s="3463"/>
      <c r="V35" s="3463">
        <f>I35</f>
        <v>0</v>
      </c>
      <c r="W35" s="3463"/>
      <c r="X35" s="385"/>
      <c r="Y35" s="673"/>
      <c r="Z35" s="385"/>
      <c r="AA35" s="385"/>
      <c r="AB35" s="385"/>
      <c r="AC35" s="385"/>
    </row>
    <row r="36" spans="1:30" ht="15.75" thickBot="1">
      <c r="A36" s="423" t="s">
        <v>1787</v>
      </c>
      <c r="B36" s="424"/>
      <c r="C36" s="1082" t="e">
        <f>R37</f>
        <v>#DIV/0!</v>
      </c>
      <c r="D36" s="2137" t="s">
        <v>2132</v>
      </c>
      <c r="E36" s="1083" t="e">
        <f>R36</f>
        <v>#DIV/0!</v>
      </c>
      <c r="F36" s="2138"/>
      <c r="G36" s="1082" t="e">
        <f>T36</f>
        <v>#DIV/0!</v>
      </c>
      <c r="H36" s="2138"/>
      <c r="I36" s="1083" t="e">
        <f>V36</f>
        <v>#DIV/0!</v>
      </c>
      <c r="J36" s="2138"/>
      <c r="K36" s="2140">
        <f>F36+H36+J36</f>
        <v>0</v>
      </c>
      <c r="L36" s="2489"/>
      <c r="M36" s="2482"/>
      <c r="N36" s="2482"/>
      <c r="O36" s="2482"/>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385"/>
      <c r="Y36" s="385"/>
      <c r="Z36" s="385"/>
      <c r="AA36" s="385"/>
      <c r="AB36" s="385"/>
      <c r="AC36" s="385"/>
    </row>
    <row r="37" spans="1:30" ht="15.75" thickBot="1">
      <c r="A37" s="427" t="s">
        <v>1788</v>
      </c>
      <c r="B37" s="428"/>
      <c r="C37" s="351" t="e">
        <f>R37</f>
        <v>#DIV/0!</v>
      </c>
      <c r="D37" s="351"/>
      <c r="E37" s="351"/>
      <c r="F37" s="351"/>
      <c r="G37" s="351"/>
      <c r="H37" s="351"/>
      <c r="I37" s="351"/>
      <c r="J37" s="351"/>
      <c r="K37" s="675"/>
      <c r="L37" s="2489"/>
      <c r="M37" s="2482"/>
      <c r="N37" s="2482"/>
      <c r="O37" s="2482"/>
      <c r="P37" s="3459" t="str">
        <f>A37</f>
        <v>估价对象XX用房的比较价值（楼面单价，元/平方米）</v>
      </c>
      <c r="Q37" s="3460"/>
      <c r="R37" s="3554" t="e">
        <f>IF(F1="售价",ROUND(IF(D36="简单平均",AVERAGE(R36:W36),R36*F36+T36*H36+V36*J36),0),ROUND(IF(D36="简单平均",AVERAGE(R36:V36),R36*F36+T36*H36+V36*J36),1))</f>
        <v>#DIV/0!</v>
      </c>
      <c r="S37" s="3554"/>
      <c r="T37" s="3554"/>
      <c r="U37" s="3554"/>
      <c r="V37" s="3554"/>
      <c r="W37" s="3554"/>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1789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8" t="s">
        <v>1792</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1673</v>
      </c>
      <c r="B46" s="441"/>
      <c r="C46" s="1102" t="str">
        <f>YEAR(C7)&amp;"-"&amp;MONTH(C7)</f>
        <v>2023-12</v>
      </c>
      <c r="D46" s="1103">
        <f>EDATE(C46,-1)</f>
        <v>45231</v>
      </c>
      <c r="E46" s="1103">
        <f t="shared" ref="E46:O46" si="16">EDATE(D46,-1)</f>
        <v>45200</v>
      </c>
      <c r="F46" s="1103">
        <f t="shared" si="16"/>
        <v>45170</v>
      </c>
      <c r="G46" s="1103">
        <f t="shared" si="16"/>
        <v>45139</v>
      </c>
      <c r="H46" s="1103">
        <f t="shared" si="16"/>
        <v>45108</v>
      </c>
      <c r="I46" s="1103">
        <f t="shared" si="16"/>
        <v>45078</v>
      </c>
      <c r="J46" s="1103">
        <f t="shared" si="16"/>
        <v>45047</v>
      </c>
      <c r="K46" s="1103">
        <f t="shared" si="16"/>
        <v>45017</v>
      </c>
      <c r="L46" s="1103">
        <f t="shared" si="16"/>
        <v>44986</v>
      </c>
      <c r="M46" s="1103">
        <f t="shared" si="16"/>
        <v>44958</v>
      </c>
      <c r="N46" s="1103">
        <f t="shared" si="16"/>
        <v>44927</v>
      </c>
      <c r="O46" s="1103">
        <f t="shared" si="16"/>
        <v>44896</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101">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75" thickBot="1">
      <c r="A48" s="449" t="s">
        <v>1710</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5">
      <c r="A49" s="455" t="s">
        <v>1675</v>
      </c>
      <c r="B49" s="444"/>
      <c r="C49" s="456" t="s">
        <v>1770</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c r="A51" s="379" t="s">
        <v>1713</v>
      </c>
      <c r="B51" s="460" t="s">
        <v>1679</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1682</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1684</v>
      </c>
      <c r="B61" s="460" t="s">
        <v>1720</v>
      </c>
      <c r="C61" s="504" t="s">
        <v>1715</v>
      </c>
      <c r="D61" s="504" t="s">
        <v>1716</v>
      </c>
      <c r="E61" s="504" t="s">
        <v>1717</v>
      </c>
      <c r="F61" s="504" t="s">
        <v>1718</v>
      </c>
      <c r="G61" s="504" t="s">
        <v>1719</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1857</v>
      </c>
      <c r="C63" s="509" t="s">
        <v>1715</v>
      </c>
      <c r="D63" s="509" t="s">
        <v>1716</v>
      </c>
      <c r="E63" s="509" t="s">
        <v>1717</v>
      </c>
      <c r="F63" s="509" t="s">
        <v>1718</v>
      </c>
      <c r="G63" s="509" t="s">
        <v>1719</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1807</v>
      </c>
      <c r="C65" s="581" t="s">
        <v>1793</v>
      </c>
      <c r="D65" s="581" t="s">
        <v>1794</v>
      </c>
      <c r="E65" s="581" t="s">
        <v>1795</v>
      </c>
      <c r="F65" s="581" t="s">
        <v>1796</v>
      </c>
      <c r="G65" s="581" t="s">
        <v>1797</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1727</v>
      </c>
      <c r="C67" s="509" t="s">
        <v>1715</v>
      </c>
      <c r="D67" s="509" t="s">
        <v>1716</v>
      </c>
      <c r="E67" s="509" t="s">
        <v>1717</v>
      </c>
      <c r="F67" s="509" t="s">
        <v>1718</v>
      </c>
      <c r="G67" s="509" t="s">
        <v>1719</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1846</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1688</v>
      </c>
      <c r="B77" s="460" t="s">
        <v>1734</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1849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1850</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1858</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1859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1860</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1912</v>
      </c>
      <c r="D1" s="651"/>
      <c r="E1" s="651"/>
      <c r="F1" s="650" t="s">
        <v>1761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t="e">
        <f>ROUND(IF(D3="",B2*10000/'数据-汇总表'!E3,B2*10000/D3),0)</f>
        <v>#DIV/0!</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77" t="s">
        <v>1764</v>
      </c>
      <c r="D4" s="3478"/>
      <c r="E4" s="3479" t="s">
        <v>1765</v>
      </c>
      <c r="F4" s="3480"/>
      <c r="G4" s="3477" t="s">
        <v>1766</v>
      </c>
      <c r="H4" s="3478"/>
      <c r="I4" s="3477" t="s">
        <v>1767</v>
      </c>
      <c r="J4" s="3478"/>
      <c r="K4" s="537" t="s">
        <v>1768</v>
      </c>
      <c r="L4" s="2481"/>
      <c r="M4" s="2482"/>
      <c r="N4" s="2482"/>
      <c r="O4" s="2482"/>
      <c r="P4" s="3481" t="s">
        <v>1769</v>
      </c>
      <c r="Q4" s="3482"/>
      <c r="R4" s="3487" t="s">
        <v>1765</v>
      </c>
      <c r="S4" s="3488"/>
      <c r="T4" s="3487" t="s">
        <v>1766</v>
      </c>
      <c r="U4" s="3488"/>
      <c r="V4" s="3463" t="s">
        <v>1767</v>
      </c>
      <c r="W4" s="3463"/>
      <c r="X4" s="1264"/>
      <c r="Y4" s="3487" t="s">
        <v>1769</v>
      </c>
      <c r="Z4" s="3488"/>
      <c r="AA4" s="3474" t="s">
        <v>1765</v>
      </c>
      <c r="AB4" s="3475" t="s">
        <v>1766</v>
      </c>
      <c r="AC4" s="3474" t="s">
        <v>1767</v>
      </c>
    </row>
    <row r="5" spans="1:29" ht="15">
      <c r="A5" s="348"/>
      <c r="B5" s="349"/>
      <c r="C5" s="3511" t="s">
        <v>1667</v>
      </c>
      <c r="D5" s="3496"/>
      <c r="E5" s="3512" t="s">
        <v>1668</v>
      </c>
      <c r="F5" s="3503"/>
      <c r="G5" s="3511" t="s">
        <v>1669</v>
      </c>
      <c r="H5" s="3496"/>
      <c r="I5" s="3511" t="s">
        <v>1670</v>
      </c>
      <c r="J5" s="3496"/>
      <c r="K5" s="537"/>
      <c r="L5" s="2481"/>
      <c r="M5" s="2482"/>
      <c r="N5" s="2482"/>
      <c r="O5" s="2482"/>
      <c r="P5" s="3483"/>
      <c r="Q5" s="3484"/>
      <c r="R5" s="3489"/>
      <c r="S5" s="3490"/>
      <c r="T5" s="3489"/>
      <c r="U5" s="3490"/>
      <c r="V5" s="3463"/>
      <c r="W5" s="3463"/>
      <c r="X5" s="1264"/>
      <c r="Y5" s="3489"/>
      <c r="Z5" s="3490"/>
      <c r="AA5" s="3475"/>
      <c r="AB5" s="3475"/>
      <c r="AC5" s="3475"/>
    </row>
    <row r="6" spans="1:29" ht="15.75" thickBot="1">
      <c r="A6" s="350"/>
      <c r="B6" s="351"/>
      <c r="C6" s="3555" t="s">
        <v>1913</v>
      </c>
      <c r="D6" s="3556"/>
      <c r="E6" s="3557" t="s">
        <v>1913</v>
      </c>
      <c r="F6" s="3558"/>
      <c r="G6" s="3555" t="s">
        <v>1913</v>
      </c>
      <c r="H6" s="3556"/>
      <c r="I6" s="3555" t="s">
        <v>1913</v>
      </c>
      <c r="J6" s="3556"/>
      <c r="K6" s="537" t="s">
        <v>1672</v>
      </c>
      <c r="L6" s="2481"/>
      <c r="M6" s="2482"/>
      <c r="N6" s="2482"/>
      <c r="O6" s="2482"/>
      <c r="P6" s="3485"/>
      <c r="Q6" s="3486"/>
      <c r="R6" s="3489"/>
      <c r="S6" s="3490"/>
      <c r="T6" s="3491"/>
      <c r="U6" s="3492"/>
      <c r="V6" s="3463"/>
      <c r="W6" s="3463"/>
      <c r="X6" s="1264"/>
      <c r="Y6" s="3491"/>
      <c r="Z6" s="3492"/>
      <c r="AA6" s="3476"/>
      <c r="AB6" s="3476"/>
      <c r="AC6" s="3476"/>
    </row>
    <row r="7" spans="1:29" s="102" customFormat="1" ht="15.75" thickBot="1">
      <c r="A7" s="352" t="s">
        <v>1673</v>
      </c>
      <c r="B7" s="353"/>
      <c r="C7" s="354">
        <f>'数据-取费表'!B2</f>
        <v>45291</v>
      </c>
      <c r="D7" s="355">
        <v>100</v>
      </c>
      <c r="E7" s="356"/>
      <c r="F7" s="357">
        <f>SUMIF(65:65,YEAR(E7)&amp;"-"&amp;INT((MONTH(E7)+2)/3),66:66)</f>
        <v>0</v>
      </c>
      <c r="G7" s="1818"/>
      <c r="H7" s="355">
        <f>SUMIF(65:65,YEAR(G7)&amp;"-"&amp;INT((MONTH(G7)+2)/3),66:66)</f>
        <v>0</v>
      </c>
      <c r="I7" s="1818"/>
      <c r="J7" s="355">
        <f>SUMIF(65:65,YEAR(I7)&amp;"-"&amp;INT((MONTH(I7)+2)/3),66:66)</f>
        <v>0</v>
      </c>
      <c r="K7" s="38"/>
      <c r="L7" s="2483"/>
      <c r="M7" s="2435"/>
      <c r="N7" s="2435"/>
      <c r="O7" s="2435"/>
      <c r="P7" s="3497" t="s">
        <v>1674</v>
      </c>
      <c r="Q7" s="3499"/>
      <c r="R7" s="664" t="s">
        <v>14</v>
      </c>
      <c r="S7" s="665">
        <f t="shared" ref="S7:S15" si="0">F7</f>
        <v>0</v>
      </c>
      <c r="T7" s="664" t="s">
        <v>14</v>
      </c>
      <c r="U7" s="665">
        <f t="shared" ref="U7:U15" si="1">H7</f>
        <v>0</v>
      </c>
      <c r="V7" s="664" t="s">
        <v>14</v>
      </c>
      <c r="W7" s="665">
        <f t="shared" ref="W7:W15" si="2">J7</f>
        <v>0</v>
      </c>
      <c r="X7" s="666"/>
      <c r="Y7" s="3497" t="s">
        <v>1674</v>
      </c>
      <c r="Z7" s="3498"/>
      <c r="AA7" s="50" t="e">
        <f>D7/F7</f>
        <v>#DIV/0!</v>
      </c>
      <c r="AB7" s="50" t="e">
        <f>D7/H7</f>
        <v>#DIV/0!</v>
      </c>
      <c r="AC7" s="50" t="e">
        <f>D7/J7</f>
        <v>#DIV/0!</v>
      </c>
    </row>
    <row r="8" spans="1:29" s="102" customFormat="1" ht="15.75" thickBot="1">
      <c r="A8" s="352" t="s">
        <v>1675</v>
      </c>
      <c r="B8" s="353"/>
      <c r="C8" s="358" t="s">
        <v>1676</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97" t="s">
        <v>1677</v>
      </c>
      <c r="Q8" s="3498"/>
      <c r="R8" s="664" t="s">
        <v>14</v>
      </c>
      <c r="S8" s="665">
        <f t="shared" si="0"/>
        <v>0</v>
      </c>
      <c r="T8" s="664" t="s">
        <v>14</v>
      </c>
      <c r="U8" s="665">
        <f t="shared" si="1"/>
        <v>0</v>
      </c>
      <c r="V8" s="664" t="s">
        <v>14</v>
      </c>
      <c r="W8" s="665">
        <f t="shared" si="2"/>
        <v>0</v>
      </c>
      <c r="X8" s="666"/>
      <c r="Y8" s="3497" t="s">
        <v>1677</v>
      </c>
      <c r="Z8" s="3498"/>
      <c r="AA8" s="50" t="e">
        <f t="shared" ref="AA8:AA40" si="3">D8/F8</f>
        <v>#DIV/0!</v>
      </c>
      <c r="AB8" s="50" t="e">
        <f t="shared" ref="AB8:AB40" si="4">D8/H8</f>
        <v>#DIV/0!</v>
      </c>
      <c r="AC8" s="50" t="e">
        <f t="shared" ref="AC8:AC40" si="5">D8/J8</f>
        <v>#DIV/0!</v>
      </c>
    </row>
    <row r="9" spans="1:29" s="102" customFormat="1">
      <c r="A9" s="359" t="s">
        <v>1678</v>
      </c>
      <c r="B9" s="60" t="s">
        <v>1679</v>
      </c>
      <c r="C9" s="1821"/>
      <c r="D9" s="59">
        <v>100</v>
      </c>
      <c r="E9" s="1821"/>
      <c r="F9" s="59">
        <f>SUMIF(70:70,E9,71:71)-SUMIF(70:70,C9,71:71)+100</f>
        <v>100</v>
      </c>
      <c r="G9" s="1821"/>
      <c r="H9" s="59">
        <f>SUMIF(70:70,G9,71:71)-SUMIF(70:70,C9,71:71)+100</f>
        <v>100</v>
      </c>
      <c r="I9" s="1821"/>
      <c r="J9" s="59">
        <f>SUMIF(70:70,I9,71:71)-SUMIF(70:70,C9,71:71)+100</f>
        <v>100</v>
      </c>
      <c r="K9" s="38"/>
      <c r="L9" s="2483"/>
      <c r="M9" s="2435"/>
      <c r="N9" s="2435"/>
      <c r="O9" s="2535"/>
      <c r="P9" s="3462" t="s">
        <v>1680</v>
      </c>
      <c r="Q9" s="530" t="str">
        <f t="shared" ref="Q9:Q15" si="6">B9</f>
        <v>用途</v>
      </c>
      <c r="R9" s="664" t="s">
        <v>14</v>
      </c>
      <c r="S9" s="665">
        <f t="shared" si="0"/>
        <v>100</v>
      </c>
      <c r="T9" s="664" t="s">
        <v>14</v>
      </c>
      <c r="U9" s="665">
        <f t="shared" si="1"/>
        <v>100</v>
      </c>
      <c r="V9" s="664" t="s">
        <v>14</v>
      </c>
      <c r="W9" s="665">
        <f t="shared" si="2"/>
        <v>100</v>
      </c>
      <c r="X9" s="666"/>
      <c r="Y9" s="3366" t="s">
        <v>1681</v>
      </c>
      <c r="Z9" s="50" t="str">
        <f t="shared" ref="Z9:Z15" si="7">Q9</f>
        <v>用途</v>
      </c>
      <c r="AA9" s="50">
        <f t="shared" si="3"/>
        <v>1</v>
      </c>
      <c r="AB9" s="50">
        <f t="shared" si="4"/>
        <v>1</v>
      </c>
      <c r="AC9" s="50">
        <f t="shared" si="5"/>
        <v>1</v>
      </c>
    </row>
    <row r="10" spans="1:29" s="366" customFormat="1" ht="27">
      <c r="A10" s="363"/>
      <c r="B10" s="364" t="s">
        <v>1682</v>
      </c>
      <c r="C10" s="371"/>
      <c r="D10" s="119">
        <v>100</v>
      </c>
      <c r="E10" s="371"/>
      <c r="F10" s="119">
        <f>ROUND(100/'数据-取费表'!G16,0)</f>
        <v>101</v>
      </c>
      <c r="G10" s="371"/>
      <c r="H10" s="119">
        <f>ROUND(100/'数据-取费表'!G16,0)</f>
        <v>101</v>
      </c>
      <c r="I10" s="371"/>
      <c r="J10" s="119">
        <f>ROUND(100/'数据-取费表'!G16,0)</f>
        <v>101</v>
      </c>
      <c r="K10" s="592"/>
      <c r="L10" s="2484"/>
      <c r="M10" s="2485"/>
      <c r="N10" s="2485"/>
      <c r="O10" s="2536"/>
      <c r="P10" s="3462"/>
      <c r="Q10" s="530" t="str">
        <f t="shared" si="6"/>
        <v>土地使用年限（年）</v>
      </c>
      <c r="R10" s="664" t="s">
        <v>14</v>
      </c>
      <c r="S10" s="665">
        <f t="shared" si="0"/>
        <v>101</v>
      </c>
      <c r="T10" s="664" t="s">
        <v>14</v>
      </c>
      <c r="U10" s="665">
        <f t="shared" si="1"/>
        <v>101</v>
      </c>
      <c r="V10" s="664" t="s">
        <v>14</v>
      </c>
      <c r="W10" s="665">
        <f t="shared" si="2"/>
        <v>101</v>
      </c>
      <c r="X10" s="666"/>
      <c r="Y10" s="3366"/>
      <c r="Z10" s="50" t="str">
        <f t="shared" si="7"/>
        <v>土地使用年限（年）</v>
      </c>
      <c r="AA10" s="50">
        <f t="shared" si="3"/>
        <v>0.99009900990099009</v>
      </c>
      <c r="AB10" s="50">
        <f t="shared" si="4"/>
        <v>0.99009900990099009</v>
      </c>
      <c r="AC10" s="50">
        <f t="shared" si="5"/>
        <v>0.99009900990099009</v>
      </c>
    </row>
    <row r="11" spans="1:29" ht="15">
      <c r="A11" s="367"/>
      <c r="B11" s="364" t="s">
        <v>1683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62"/>
      <c r="Q11" s="530" t="str">
        <f t="shared" si="6"/>
        <v>容积率</v>
      </c>
      <c r="R11" s="664" t="s">
        <v>14</v>
      </c>
      <c r="S11" s="665" t="e">
        <f t="shared" si="0"/>
        <v>#N/A</v>
      </c>
      <c r="T11" s="664" t="s">
        <v>14</v>
      </c>
      <c r="U11" s="665" t="e">
        <f t="shared" si="1"/>
        <v>#N/A</v>
      </c>
      <c r="V11" s="664" t="s">
        <v>14</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462"/>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62"/>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62"/>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57">
      <c r="A15" s="379" t="s">
        <v>1684</v>
      </c>
      <c r="B15" s="554" t="s">
        <v>1914</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64" t="s">
        <v>1685</v>
      </c>
      <c r="Q15" s="1262" t="str">
        <f t="shared" si="6"/>
        <v>产业集聚程度</v>
      </c>
      <c r="R15" s="667" t="s">
        <v>14</v>
      </c>
      <c r="S15" s="668">
        <f t="shared" si="0"/>
        <v>100</v>
      </c>
      <c r="T15" s="667" t="s">
        <v>14</v>
      </c>
      <c r="U15" s="668">
        <f t="shared" si="1"/>
        <v>100</v>
      </c>
      <c r="V15" s="667" t="s">
        <v>14</v>
      </c>
      <c r="W15" s="668">
        <f t="shared" si="2"/>
        <v>100</v>
      </c>
      <c r="X15" s="1264"/>
      <c r="Y15" s="3464" t="s">
        <v>1685</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7"/>
      <c r="M16" s="2482"/>
      <c r="N16" s="2482"/>
      <c r="O16" s="2537"/>
      <c r="P16" s="3465"/>
      <c r="Q16" s="1262"/>
      <c r="R16" s="667"/>
      <c r="S16" s="668"/>
      <c r="T16" s="667"/>
      <c r="U16" s="668"/>
      <c r="V16" s="667"/>
      <c r="W16" s="668"/>
      <c r="X16" s="1264"/>
      <c r="Y16" s="3465"/>
      <c r="Z16" s="1263"/>
      <c r="AA16" s="1263">
        <v>1</v>
      </c>
      <c r="AB16" s="1263">
        <v>1</v>
      </c>
      <c r="AC16" s="1263">
        <v>1</v>
      </c>
    </row>
    <row r="17" spans="1:29" ht="85.5">
      <c r="A17" s="367"/>
      <c r="B17" s="556" t="s">
        <v>1827</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65"/>
      <c r="Q17" s="1262" t="str">
        <f>B17</f>
        <v>交通便捷度</v>
      </c>
      <c r="R17" s="667" t="s">
        <v>14</v>
      </c>
      <c r="S17" s="668">
        <f>F17</f>
        <v>100</v>
      </c>
      <c r="T17" s="667" t="s">
        <v>14</v>
      </c>
      <c r="U17" s="668">
        <f>H17</f>
        <v>100</v>
      </c>
      <c r="V17" s="667" t="s">
        <v>14</v>
      </c>
      <c r="W17" s="668">
        <f>J17</f>
        <v>100</v>
      </c>
      <c r="X17" s="1264"/>
      <c r="Y17" s="3465"/>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7"/>
      <c r="M18" s="2482"/>
      <c r="N18" s="2482"/>
      <c r="O18" s="2537"/>
      <c r="P18" s="3465"/>
      <c r="Q18" s="1262"/>
      <c r="R18" s="667"/>
      <c r="S18" s="668"/>
      <c r="T18" s="667"/>
      <c r="U18" s="668"/>
      <c r="V18" s="667"/>
      <c r="W18" s="668"/>
      <c r="X18" s="1264"/>
      <c r="Y18" s="3465"/>
      <c r="Z18" s="1263"/>
      <c r="AA18" s="1263">
        <v>1</v>
      </c>
      <c r="AB18" s="1263">
        <v>1</v>
      </c>
      <c r="AC18" s="1263">
        <v>1</v>
      </c>
    </row>
    <row r="19" spans="1:29" ht="15">
      <c r="A19" s="367"/>
      <c r="B19" s="556" t="s">
        <v>1865</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65"/>
      <c r="Q19" s="1262" t="str">
        <f t="shared" ref="Q19:Q33" si="8">B19</f>
        <v>区域土地利用方向</v>
      </c>
      <c r="R19" s="667" t="s">
        <v>14</v>
      </c>
      <c r="S19" s="668">
        <f>F19</f>
        <v>100</v>
      </c>
      <c r="T19" s="667" t="s">
        <v>14</v>
      </c>
      <c r="U19" s="668">
        <f>H19</f>
        <v>100</v>
      </c>
      <c r="V19" s="667" t="s">
        <v>14</v>
      </c>
      <c r="W19" s="668">
        <f>J19</f>
        <v>100</v>
      </c>
      <c r="X19" s="1264"/>
      <c r="Y19" s="3465"/>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7"/>
      <c r="M20" s="2482"/>
      <c r="N20" s="2482"/>
      <c r="O20" s="2537"/>
      <c r="P20" s="3465"/>
      <c r="Q20" s="1262"/>
      <c r="R20" s="667"/>
      <c r="S20" s="668"/>
      <c r="T20" s="667"/>
      <c r="U20" s="668"/>
      <c r="V20" s="667"/>
      <c r="W20" s="668"/>
      <c r="X20" s="1264"/>
      <c r="Y20" s="3465"/>
      <c r="Z20" s="1263"/>
      <c r="AA20" s="1263"/>
      <c r="AB20" s="1263"/>
      <c r="AC20" s="1263"/>
    </row>
    <row r="21" spans="1:29" ht="71.25">
      <c r="A21" s="348"/>
      <c r="B21" s="556" t="s">
        <v>1915</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65"/>
      <c r="Q21" s="1262" t="str">
        <f t="shared" si="8"/>
        <v>环境状况</v>
      </c>
      <c r="R21" s="667" t="s">
        <v>14</v>
      </c>
      <c r="S21" s="668">
        <f>F21</f>
        <v>100</v>
      </c>
      <c r="T21" s="667" t="s">
        <v>14</v>
      </c>
      <c r="U21" s="668">
        <f>H21</f>
        <v>100</v>
      </c>
      <c r="V21" s="667" t="s">
        <v>14</v>
      </c>
      <c r="W21" s="668">
        <f>J21</f>
        <v>100</v>
      </c>
      <c r="X21" s="1264"/>
      <c r="Y21" s="3465"/>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7"/>
      <c r="M22" s="2482"/>
      <c r="N22" s="2482"/>
      <c r="O22" s="2537"/>
      <c r="P22" s="3465"/>
      <c r="Q22" s="1262"/>
      <c r="R22" s="667"/>
      <c r="S22" s="668"/>
      <c r="T22" s="667"/>
      <c r="U22" s="668"/>
      <c r="V22" s="667"/>
      <c r="W22" s="668"/>
      <c r="X22" s="1264"/>
      <c r="Y22" s="3465"/>
      <c r="Z22" s="1263"/>
      <c r="AA22" s="1263">
        <v>1</v>
      </c>
      <c r="AB22" s="1263">
        <v>1</v>
      </c>
      <c r="AC22" s="1263">
        <v>1</v>
      </c>
    </row>
    <row r="23" spans="1:29" s="102" customFormat="1" ht="42.75">
      <c r="A23" s="443"/>
      <c r="B23" s="557" t="s">
        <v>1772</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465"/>
      <c r="Q23" s="530" t="str">
        <f t="shared" si="8"/>
        <v>公共配套设施</v>
      </c>
      <c r="R23" s="664" t="s">
        <v>14</v>
      </c>
      <c r="S23" s="665">
        <f>F23</f>
        <v>100</v>
      </c>
      <c r="T23" s="664" t="s">
        <v>14</v>
      </c>
      <c r="U23" s="665">
        <f>H23</f>
        <v>100</v>
      </c>
      <c r="V23" s="664" t="s">
        <v>14</v>
      </c>
      <c r="W23" s="665">
        <f>J23</f>
        <v>100</v>
      </c>
      <c r="X23" s="666"/>
      <c r="Y23" s="3465"/>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3"/>
      <c r="M24" s="2435"/>
      <c r="N24" s="2435"/>
      <c r="O24" s="2535"/>
      <c r="P24" s="3465"/>
      <c r="Q24" s="530"/>
      <c r="R24" s="664"/>
      <c r="S24" s="665"/>
      <c r="T24" s="664"/>
      <c r="U24" s="665"/>
      <c r="V24" s="664"/>
      <c r="W24" s="665"/>
      <c r="X24" s="666"/>
      <c r="Y24" s="3465"/>
      <c r="Z24" s="50"/>
      <c r="AA24" s="50">
        <v>1</v>
      </c>
      <c r="AB24" s="50">
        <v>1</v>
      </c>
      <c r="AC24" s="50">
        <v>1</v>
      </c>
    </row>
    <row r="25" spans="1:29" s="102" customFormat="1" ht="28.5">
      <c r="A25" s="443"/>
      <c r="B25" s="557" t="s">
        <v>1773</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465"/>
      <c r="Q25" s="530" t="str">
        <f t="shared" ref="Q25" si="9">B25</f>
        <v>基础设施水平</v>
      </c>
      <c r="R25" s="664" t="s">
        <v>14</v>
      </c>
      <c r="S25" s="665">
        <f>F25</f>
        <v>100</v>
      </c>
      <c r="T25" s="664" t="s">
        <v>14</v>
      </c>
      <c r="U25" s="665">
        <f>H25</f>
        <v>100</v>
      </c>
      <c r="V25" s="664" t="s">
        <v>14</v>
      </c>
      <c r="W25" s="665">
        <f>J25</f>
        <v>100</v>
      </c>
      <c r="X25" s="666"/>
      <c r="Y25" s="3465"/>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3"/>
      <c r="M26" s="2435"/>
      <c r="N26" s="2435"/>
      <c r="O26" s="2535"/>
      <c r="P26" s="3465"/>
      <c r="Q26" s="530"/>
      <c r="R26" s="664"/>
      <c r="S26" s="665"/>
      <c r="T26" s="664"/>
      <c r="U26" s="665"/>
      <c r="V26" s="664"/>
      <c r="W26" s="665"/>
      <c r="X26" s="666"/>
      <c r="Y26" s="3465"/>
      <c r="Z26" s="50"/>
      <c r="AA26" s="50">
        <v>1</v>
      </c>
      <c r="AB26" s="50">
        <v>1</v>
      </c>
      <c r="AC26" s="50">
        <v>1</v>
      </c>
    </row>
    <row r="27" spans="1:29" ht="15">
      <c r="A27" s="367"/>
      <c r="B27" s="401" t="s">
        <v>1774</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6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65"/>
      <c r="Z27" s="1263" t="str">
        <f t="shared" ref="Z27:Z40" si="13">Q27</f>
        <v>临街状况</v>
      </c>
      <c r="AA27" s="1263">
        <f t="shared" si="3"/>
        <v>1</v>
      </c>
      <c r="AB27" s="1263">
        <f t="shared" si="4"/>
        <v>1</v>
      </c>
      <c r="AC27" s="1263">
        <f t="shared" si="5"/>
        <v>1</v>
      </c>
    </row>
    <row r="28" spans="1:29" ht="27">
      <c r="A28" s="367"/>
      <c r="B28" s="557" t="s">
        <v>1809</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65"/>
      <c r="Q28" s="1262" t="str">
        <f t="shared" si="8"/>
        <v>毗邻道路的类型与等级</v>
      </c>
      <c r="R28" s="667" t="s">
        <v>14</v>
      </c>
      <c r="S28" s="668">
        <f t="shared" si="10"/>
        <v>100</v>
      </c>
      <c r="T28" s="667" t="s">
        <v>14</v>
      </c>
      <c r="U28" s="668">
        <f t="shared" si="11"/>
        <v>100</v>
      </c>
      <c r="V28" s="667" t="s">
        <v>14</v>
      </c>
      <c r="W28" s="668">
        <f t="shared" si="12"/>
        <v>100</v>
      </c>
      <c r="X28" s="1264"/>
      <c r="Y28" s="3465"/>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7"/>
      <c r="M29" s="2482"/>
      <c r="N29" s="2482"/>
      <c r="O29" s="2537"/>
      <c r="P29" s="3465"/>
      <c r="Q29" s="1262"/>
      <c r="R29" s="667"/>
      <c r="S29" s="668"/>
      <c r="T29" s="667"/>
      <c r="U29" s="668"/>
      <c r="V29" s="667"/>
      <c r="W29" s="668"/>
      <c r="X29" s="1264"/>
      <c r="Y29" s="3465"/>
      <c r="Z29" s="1263"/>
      <c r="AA29" s="1263">
        <v>1</v>
      </c>
      <c r="AB29" s="1263">
        <v>1</v>
      </c>
      <c r="AC29" s="1263">
        <v>1</v>
      </c>
    </row>
    <row r="30" spans="1:29" ht="15">
      <c r="A30" s="367"/>
      <c r="B30" s="119" t="s">
        <v>1867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65"/>
      <c r="Q30" s="1262" t="str">
        <f t="shared" si="8"/>
        <v>土地级别</v>
      </c>
      <c r="R30" s="667" t="s">
        <v>14</v>
      </c>
      <c r="S30" s="668">
        <f t="shared" si="10"/>
        <v>100</v>
      </c>
      <c r="T30" s="667" t="s">
        <v>14</v>
      </c>
      <c r="U30" s="668">
        <f t="shared" si="11"/>
        <v>100</v>
      </c>
      <c r="V30" s="667" t="s">
        <v>14</v>
      </c>
      <c r="W30" s="668">
        <f t="shared" si="12"/>
        <v>100</v>
      </c>
      <c r="X30" s="1264"/>
      <c r="Y30" s="3465"/>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65"/>
      <c r="Q31" s="1262">
        <f t="shared" si="8"/>
        <v>111</v>
      </c>
      <c r="R31" s="667" t="s">
        <v>14</v>
      </c>
      <c r="S31" s="668">
        <f t="shared" si="10"/>
        <v>100</v>
      </c>
      <c r="T31" s="667" t="s">
        <v>14</v>
      </c>
      <c r="U31" s="668">
        <f t="shared" si="11"/>
        <v>100</v>
      </c>
      <c r="V31" s="667" t="s">
        <v>14</v>
      </c>
      <c r="W31" s="668">
        <f t="shared" si="12"/>
        <v>100</v>
      </c>
      <c r="X31" s="1264"/>
      <c r="Y31" s="3465"/>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10" t="s">
        <v>1690</v>
      </c>
      <c r="Q32" s="1262">
        <f t="shared" si="8"/>
        <v>111</v>
      </c>
      <c r="R32" s="667" t="s">
        <v>14</v>
      </c>
      <c r="S32" s="668">
        <f t="shared" si="10"/>
        <v>100</v>
      </c>
      <c r="T32" s="667" t="s">
        <v>14</v>
      </c>
      <c r="U32" s="668">
        <f t="shared" si="11"/>
        <v>100</v>
      </c>
      <c r="V32" s="667" t="s">
        <v>14</v>
      </c>
      <c r="W32" s="668">
        <f t="shared" si="12"/>
        <v>100</v>
      </c>
      <c r="X32" s="1264"/>
      <c r="Y32" s="3469" t="s">
        <v>1690</v>
      </c>
      <c r="Z32" s="1263">
        <f t="shared" si="13"/>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69"/>
      <c r="Q33" s="1262">
        <f t="shared" si="8"/>
        <v>111</v>
      </c>
      <c r="R33" s="669" t="s">
        <v>14</v>
      </c>
      <c r="S33" s="670">
        <f t="shared" si="10"/>
        <v>100</v>
      </c>
      <c r="T33" s="669" t="s">
        <v>14</v>
      </c>
      <c r="U33" s="670">
        <f t="shared" si="11"/>
        <v>100</v>
      </c>
      <c r="V33" s="669" t="s">
        <v>14</v>
      </c>
      <c r="W33" s="670">
        <f t="shared" si="12"/>
        <v>100</v>
      </c>
      <c r="X33" s="671"/>
      <c r="Y33" s="3469"/>
      <c r="Z33" s="672">
        <f t="shared" si="13"/>
        <v>111</v>
      </c>
      <c r="AA33" s="1263">
        <f t="shared" si="3"/>
        <v>1</v>
      </c>
      <c r="AB33" s="1263">
        <f t="shared" si="4"/>
        <v>1</v>
      </c>
      <c r="AC33" s="1263">
        <f t="shared" si="5"/>
        <v>1</v>
      </c>
    </row>
    <row r="34" spans="1:31" ht="15">
      <c r="A34" s="379" t="s">
        <v>1688</v>
      </c>
      <c r="B34" s="395" t="s">
        <v>1868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69"/>
      <c r="Q34" s="1262" t="str">
        <f>B34</f>
        <v>宗地面积</v>
      </c>
      <c r="R34" s="667" t="s">
        <v>14</v>
      </c>
      <c r="S34" s="668" t="e">
        <f t="shared" si="10"/>
        <v>#N/A</v>
      </c>
      <c r="T34" s="667" t="s">
        <v>14</v>
      </c>
      <c r="U34" s="668" t="e">
        <f t="shared" si="11"/>
        <v>#N/A</v>
      </c>
      <c r="V34" s="667" t="s">
        <v>14</v>
      </c>
      <c r="W34" s="668" t="e">
        <f t="shared" si="12"/>
        <v>#N/A</v>
      </c>
      <c r="X34" s="1264"/>
      <c r="Y34" s="3469"/>
      <c r="Z34" s="1263" t="str">
        <f t="shared" si="13"/>
        <v>宗地面积</v>
      </c>
      <c r="AA34" s="1263" t="e">
        <f t="shared" si="3"/>
        <v>#N/A</v>
      </c>
      <c r="AB34" s="1263" t="e">
        <f t="shared" si="4"/>
        <v>#N/A</v>
      </c>
      <c r="AC34" s="1263" t="e">
        <f t="shared" si="5"/>
        <v>#N/A</v>
      </c>
    </row>
    <row r="35" spans="1:31" ht="15">
      <c r="A35" s="409"/>
      <c r="B35" s="364" t="s">
        <v>1869</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7"/>
      <c r="M35" s="2482"/>
      <c r="N35" s="2482"/>
      <c r="O35" s="2537"/>
      <c r="P35" s="3469"/>
      <c r="Q35" s="1262" t="str">
        <f t="shared" ref="Q35:Q40" si="14">B35</f>
        <v>宗地形状</v>
      </c>
      <c r="R35" s="667" t="s">
        <v>14</v>
      </c>
      <c r="S35" s="668">
        <f t="shared" si="10"/>
        <v>100</v>
      </c>
      <c r="T35" s="667" t="s">
        <v>14</v>
      </c>
      <c r="U35" s="668">
        <f t="shared" si="11"/>
        <v>100</v>
      </c>
      <c r="V35" s="667" t="s">
        <v>14</v>
      </c>
      <c r="W35" s="668">
        <f t="shared" si="12"/>
        <v>100</v>
      </c>
      <c r="X35" s="1264"/>
      <c r="Y35" s="3469"/>
      <c r="Z35" s="1263" t="str">
        <f t="shared" si="13"/>
        <v>宗地形状</v>
      </c>
      <c r="AA35" s="1263">
        <f t="shared" si="3"/>
        <v>1</v>
      </c>
      <c r="AB35" s="1263">
        <f t="shared" si="4"/>
        <v>1</v>
      </c>
      <c r="AC35" s="1263">
        <f t="shared" si="5"/>
        <v>1</v>
      </c>
    </row>
    <row r="36" spans="1:31" s="102" customFormat="1" ht="15">
      <c r="A36" s="410"/>
      <c r="B36" s="364" t="s">
        <v>1871</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3"/>
      <c r="M36" s="2435"/>
      <c r="N36" s="2435"/>
      <c r="O36" s="2535"/>
      <c r="P36" s="3469"/>
      <c r="Q36" s="1262" t="str">
        <f t="shared" si="14"/>
        <v>宗地开发程度</v>
      </c>
      <c r="R36" s="664" t="s">
        <v>14</v>
      </c>
      <c r="S36" s="665">
        <f t="shared" si="10"/>
        <v>100</v>
      </c>
      <c r="T36" s="664" t="s">
        <v>14</v>
      </c>
      <c r="U36" s="665">
        <f t="shared" si="11"/>
        <v>100</v>
      </c>
      <c r="V36" s="664" t="s">
        <v>14</v>
      </c>
      <c r="W36" s="665">
        <f t="shared" si="12"/>
        <v>100</v>
      </c>
      <c r="X36" s="666"/>
      <c r="Y36" s="3469"/>
      <c r="Z36" s="50" t="str">
        <f t="shared" si="13"/>
        <v>宗地开发程度</v>
      </c>
      <c r="AA36" s="50">
        <f t="shared" si="3"/>
        <v>1</v>
      </c>
      <c r="AB36" s="50">
        <f t="shared" si="4"/>
        <v>1</v>
      </c>
      <c r="AC36" s="50">
        <f t="shared" si="5"/>
        <v>1</v>
      </c>
    </row>
    <row r="37" spans="1:31" ht="15">
      <c r="A37" s="409"/>
      <c r="B37" s="364" t="s">
        <v>1872</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7"/>
      <c r="M37" s="2482"/>
      <c r="N37" s="2482"/>
      <c r="O37" s="2537"/>
      <c r="P37" s="3469" t="s">
        <v>1690</v>
      </c>
      <c r="Q37" s="1262" t="str">
        <f t="shared" si="14"/>
        <v>工程地质条件</v>
      </c>
      <c r="R37" s="667" t="s">
        <v>14</v>
      </c>
      <c r="S37" s="668">
        <f t="shared" si="10"/>
        <v>100</v>
      </c>
      <c r="T37" s="667" t="s">
        <v>14</v>
      </c>
      <c r="U37" s="668">
        <f t="shared" si="11"/>
        <v>100</v>
      </c>
      <c r="V37" s="667" t="s">
        <v>14</v>
      </c>
      <c r="W37" s="668">
        <f t="shared" si="12"/>
        <v>100</v>
      </c>
      <c r="X37" s="1264"/>
      <c r="Y37" s="3469" t="s">
        <v>1690</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69"/>
      <c r="Q38" s="1262">
        <f t="shared" si="14"/>
        <v>111</v>
      </c>
      <c r="R38" s="667" t="s">
        <v>14</v>
      </c>
      <c r="S38" s="668">
        <f t="shared" si="10"/>
        <v>100</v>
      </c>
      <c r="T38" s="667" t="s">
        <v>14</v>
      </c>
      <c r="U38" s="668">
        <f t="shared" si="11"/>
        <v>100</v>
      </c>
      <c r="V38" s="667" t="s">
        <v>14</v>
      </c>
      <c r="W38" s="668">
        <f t="shared" si="12"/>
        <v>100</v>
      </c>
      <c r="X38" s="1264"/>
      <c r="Y38" s="3469"/>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69"/>
      <c r="Q39" s="1262">
        <f t="shared" si="14"/>
        <v>111</v>
      </c>
      <c r="R39" s="667" t="s">
        <v>14</v>
      </c>
      <c r="S39" s="668">
        <f t="shared" si="10"/>
        <v>100</v>
      </c>
      <c r="T39" s="667" t="s">
        <v>14</v>
      </c>
      <c r="U39" s="668">
        <f t="shared" si="11"/>
        <v>100</v>
      </c>
      <c r="V39" s="667" t="s">
        <v>14</v>
      </c>
      <c r="W39" s="668">
        <f t="shared" si="12"/>
        <v>100</v>
      </c>
      <c r="X39" s="1264"/>
      <c r="Y39" s="3469"/>
      <c r="Z39" s="1263">
        <f t="shared" si="13"/>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69"/>
      <c r="Q40" s="1262">
        <f t="shared" si="14"/>
        <v>111</v>
      </c>
      <c r="R40" s="669" t="s">
        <v>14</v>
      </c>
      <c r="S40" s="670">
        <f t="shared" si="10"/>
        <v>100</v>
      </c>
      <c r="T40" s="669" t="s">
        <v>14</v>
      </c>
      <c r="U40" s="670">
        <f t="shared" si="11"/>
        <v>100</v>
      </c>
      <c r="V40" s="669" t="s">
        <v>14</v>
      </c>
      <c r="W40" s="670">
        <f t="shared" si="12"/>
        <v>100</v>
      </c>
      <c r="X40" s="671"/>
      <c r="Y40" s="3469"/>
      <c r="Z40" s="672">
        <f t="shared" si="13"/>
        <v>111</v>
      </c>
      <c r="AA40" s="1263">
        <f t="shared" si="3"/>
        <v>1</v>
      </c>
      <c r="AB40" s="1263">
        <f t="shared" si="4"/>
        <v>1</v>
      </c>
      <c r="AC40" s="1263">
        <f t="shared" si="5"/>
        <v>1</v>
      </c>
    </row>
    <row r="41" spans="1:31" ht="15">
      <c r="A41" s="416" t="s">
        <v>1838</v>
      </c>
      <c r="B41" s="1826" t="s">
        <v>1916</v>
      </c>
      <c r="C41" s="602" t="s">
        <v>0</v>
      </c>
      <c r="D41" s="418"/>
      <c r="E41" s="419"/>
      <c r="F41" s="420"/>
      <c r="G41" s="421"/>
      <c r="H41" s="422"/>
      <c r="I41" s="419"/>
      <c r="J41" s="422"/>
      <c r="K41" s="674"/>
      <c r="L41" s="2489"/>
      <c r="M41" s="2482"/>
      <c r="N41" s="2482"/>
      <c r="O41" s="2482"/>
      <c r="P41" s="3462" t="str">
        <f>A41</f>
        <v>成交单价</v>
      </c>
      <c r="Q41" s="3462"/>
      <c r="R41" s="3463">
        <f>E41</f>
        <v>0</v>
      </c>
      <c r="S41" s="3463"/>
      <c r="T41" s="3463">
        <f>G41</f>
        <v>0</v>
      </c>
      <c r="U41" s="3463"/>
      <c r="V41" s="3463">
        <f>I41</f>
        <v>0</v>
      </c>
      <c r="W41" s="3463"/>
      <c r="X41" s="385"/>
      <c r="Y41" s="673"/>
      <c r="Z41" s="385"/>
      <c r="AA41" s="385"/>
      <c r="AB41" s="385"/>
      <c r="AC41" s="385"/>
    </row>
    <row r="42" spans="1:31" ht="15.75" thickBot="1">
      <c r="A42" s="423" t="s">
        <v>1787</v>
      </c>
      <c r="B42" s="603"/>
      <c r="C42" s="426" t="e">
        <f>R43</f>
        <v>#DIV/0!</v>
      </c>
      <c r="D42" s="2137" t="s">
        <v>2132</v>
      </c>
      <c r="E42" s="426" t="e">
        <f>R42</f>
        <v>#DIV/0!</v>
      </c>
      <c r="F42" s="2138"/>
      <c r="G42" s="425" t="e">
        <f>T42</f>
        <v>#DIV/0!</v>
      </c>
      <c r="H42" s="2138"/>
      <c r="I42" s="426" t="e">
        <f>V42</f>
        <v>#DIV/0!</v>
      </c>
      <c r="J42" s="2138"/>
      <c r="K42" s="2140">
        <f>F42+H42+J42</f>
        <v>0</v>
      </c>
      <c r="L42" s="2489"/>
      <c r="M42" s="2482"/>
      <c r="N42" s="2482"/>
      <c r="O42" s="2482"/>
      <c r="P42" s="3462" t="str">
        <f>A42</f>
        <v>比较价值（元/平方米）</v>
      </c>
      <c r="Q42" s="3462"/>
      <c r="R42" s="3507" t="e">
        <f>ROUND(PRODUCT(R41,AA7:AA40),0)</f>
        <v>#DIV/0!</v>
      </c>
      <c r="S42" s="3507"/>
      <c r="T42" s="3507" t="e">
        <f>ROUND(PRODUCT(T41,AB7:AB40),0)</f>
        <v>#DIV/0!</v>
      </c>
      <c r="U42" s="3507"/>
      <c r="V42" s="3507" t="e">
        <f>ROUND(PRODUCT(V41,AC7:AC40),0)</f>
        <v>#DIV/0!</v>
      </c>
      <c r="W42" s="3507"/>
      <c r="X42" s="385"/>
      <c r="Y42" s="385"/>
      <c r="Z42" s="385"/>
      <c r="AA42" s="385"/>
      <c r="AB42" s="385"/>
      <c r="AC42" s="385"/>
    </row>
    <row r="43" spans="1:31" ht="15.75" thickBot="1">
      <c r="A43" s="427" t="s">
        <v>1788</v>
      </c>
      <c r="B43" s="428"/>
      <c r="C43" s="429" t="e">
        <f>R43</f>
        <v>#DIV/0!</v>
      </c>
      <c r="D43" s="429"/>
      <c r="E43" s="429"/>
      <c r="F43" s="429"/>
      <c r="G43" s="429"/>
      <c r="H43" s="429"/>
      <c r="I43" s="429"/>
      <c r="J43" s="429"/>
      <c r="K43" s="675"/>
      <c r="L43" s="2489"/>
      <c r="M43" s="2482"/>
      <c r="N43" s="2482"/>
      <c r="O43" s="2482"/>
      <c r="P43" s="3459" t="str">
        <f>A43</f>
        <v>估价对象XX用房的比较价值（楼面单价，元/平方米）</v>
      </c>
      <c r="Q43" s="3460"/>
      <c r="R43" s="3508" t="e">
        <f>ROUND(IF(D42="简单平均",AVERAGE(R42:W42),R42*F42+T42*H42+V42*J42),0)</f>
        <v>#DIV/0!</v>
      </c>
      <c r="S43" s="3508"/>
      <c r="T43" s="3508"/>
      <c r="U43" s="3508"/>
      <c r="V43" s="3508"/>
      <c r="W43" s="3508"/>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1789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4" t="s">
        <v>1875</v>
      </c>
      <c r="B50" s="605" t="s">
        <v>1876</v>
      </c>
      <c r="C50" s="1827" t="s">
        <v>1877</v>
      </c>
      <c r="D50" s="1828" t="s">
        <v>1878</v>
      </c>
      <c r="E50" s="606" t="s">
        <v>1879</v>
      </c>
      <c r="F50" s="607" t="s">
        <v>1880</v>
      </c>
      <c r="G50" s="3477" t="s">
        <v>1881</v>
      </c>
      <c r="H50" s="3509"/>
      <c r="I50" s="1263" t="s">
        <v>1917</v>
      </c>
      <c r="J50" s="1263" t="str">
        <f>项目基本情况!F35</f>
        <v>河北省张家口市</v>
      </c>
      <c r="K50" s="1830" t="s">
        <v>1883</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1884</v>
      </c>
      <c r="B51" s="609" t="e">
        <f>C43</f>
        <v>#DIV/0!</v>
      </c>
      <c r="C51" s="610">
        <v>1</v>
      </c>
      <c r="D51" s="890">
        <v>1</v>
      </c>
      <c r="E51" s="610">
        <f>'数据-汇总表'!E8+'数据-汇总表'!E9</f>
        <v>86196.960000000021</v>
      </c>
      <c r="F51" s="611" t="e">
        <f t="shared" ref="F51:F60" si="15">ROUND(B51*E51/10000,0)</f>
        <v>#DIV/0!</v>
      </c>
      <c r="G51" s="3473"/>
      <c r="H51" s="3462"/>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1885</v>
      </c>
      <c r="B52" s="210" t="e">
        <f>ROUND($C$43*C52*D52,0)</f>
        <v>#DIV/0!</v>
      </c>
      <c r="C52" s="163">
        <f t="shared" ref="C52:C60" si="16">IF($C$50="北京市系数",I52,J52)</f>
        <v>0</v>
      </c>
      <c r="D52" s="891">
        <v>0.25</v>
      </c>
      <c r="E52" s="614"/>
      <c r="F52" s="611" t="e">
        <f t="shared" si="15"/>
        <v>#DIV/0!</v>
      </c>
      <c r="G52" s="2745" t="s">
        <v>1886</v>
      </c>
      <c r="H52" s="834">
        <f>项目基本情况!B37</f>
        <v>0</v>
      </c>
      <c r="I52" s="727">
        <f>SUMIF(修正!A57:A68,H52,修正!B57:B68)</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1887</v>
      </c>
      <c r="B53" s="210" t="e">
        <f t="shared" ref="B53:B60" si="17">ROUND($C$43*C53*D53,0)</f>
        <v>#DIV/0!</v>
      </c>
      <c r="C53" s="163">
        <f t="shared" si="16"/>
        <v>0</v>
      </c>
      <c r="D53" s="891">
        <v>0.25</v>
      </c>
      <c r="E53" s="614"/>
      <c r="F53" s="611" t="e">
        <f t="shared" si="15"/>
        <v>#DIV/0!</v>
      </c>
      <c r="G53" s="2746"/>
      <c r="H53" s="834">
        <f>项目基本情况!B37</f>
        <v>0</v>
      </c>
      <c r="I53" s="727">
        <f>SUMIF(修正!A57:A68,H53,修正!C57:C68)</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1888</v>
      </c>
      <c r="B54" s="210" t="e">
        <f t="shared" si="17"/>
        <v>#DIV/0!</v>
      </c>
      <c r="C54" s="163">
        <f t="shared" si="16"/>
        <v>0</v>
      </c>
      <c r="D54" s="891">
        <v>0.25</v>
      </c>
      <c r="E54" s="614"/>
      <c r="F54" s="611" t="e">
        <f t="shared" si="15"/>
        <v>#DIV/0!</v>
      </c>
      <c r="G54" s="2746"/>
      <c r="H54" s="834">
        <f>项目基本情况!B37</f>
        <v>0</v>
      </c>
      <c r="I54" s="727">
        <f>SUMIF(修正!A57:A68,H54,修正!D57:D68)</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1889</v>
      </c>
      <c r="B56" s="210" t="e">
        <f t="shared" si="17"/>
        <v>#DIV/0!</v>
      </c>
      <c r="C56" s="163">
        <f t="shared" si="16"/>
        <v>0</v>
      </c>
      <c r="D56" s="891">
        <v>0.25</v>
      </c>
      <c r="E56" s="209">
        <f>'数据-汇总表'!E11</f>
        <v>0</v>
      </c>
      <c r="F56" s="611" t="e">
        <f t="shared" si="15"/>
        <v>#DIV/0!</v>
      </c>
      <c r="G56" s="1831" t="s">
        <v>1890</v>
      </c>
      <c r="H56" s="834">
        <f>项目基本情况!C37</f>
        <v>0</v>
      </c>
      <c r="I56" s="727">
        <f>SUMIF(修正!A57:A68,H56,修正!E57:E68)</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1891</v>
      </c>
      <c r="B57" s="210" t="e">
        <f t="shared" si="17"/>
        <v>#DIV/0!</v>
      </c>
      <c r="C57" s="163">
        <f t="shared" si="16"/>
        <v>0</v>
      </c>
      <c r="D57" s="891">
        <v>0.25</v>
      </c>
      <c r="E57" s="209">
        <f>'数据-汇总表'!E12</f>
        <v>0</v>
      </c>
      <c r="F57" s="611" t="e">
        <f t="shared" si="15"/>
        <v>#DIV/0!</v>
      </c>
      <c r="G57" s="839" t="s">
        <v>1892</v>
      </c>
      <c r="H57" s="834">
        <f>IF(G57="商业",项目基本情况!B37,IF(G57="办公",项目基本情况!C37,IF(G57="住宅",项目基本情况!D37,项目基本情况!E37)))</f>
        <v>0</v>
      </c>
      <c r="I57" s="727">
        <f>SUMIF(修正!A57:A68,H57,修正!F57:F68)</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1893</v>
      </c>
      <c r="B58" s="210" t="e">
        <f t="shared" si="17"/>
        <v>#DIV/0!</v>
      </c>
      <c r="C58" s="163">
        <f t="shared" si="16"/>
        <v>0</v>
      </c>
      <c r="D58" s="891">
        <v>0.25</v>
      </c>
      <c r="E58" s="209">
        <f>'数据-汇总表'!E13</f>
        <v>0</v>
      </c>
      <c r="F58" s="611" t="e">
        <f t="shared" si="15"/>
        <v>#DIV/0!</v>
      </c>
      <c r="G58" s="839" t="s">
        <v>1894</v>
      </c>
      <c r="H58" s="834">
        <f>IF(G58="商业",项目基本情况!B37,IF(G58="办公",项目基本情况!C37,IF(G58="住宅",项目基本情况!D37,项目基本情况!E37)))</f>
        <v>0</v>
      </c>
      <c r="I58" s="727">
        <f>SUMIF(修正!A57:A68,H58,修正!G57:G68)</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1895</v>
      </c>
      <c r="B59" s="210" t="e">
        <f t="shared" si="17"/>
        <v>#DIV/0!</v>
      </c>
      <c r="C59" s="163">
        <f t="shared" si="16"/>
        <v>0</v>
      </c>
      <c r="D59" s="891">
        <v>0.25</v>
      </c>
      <c r="E59" s="209">
        <f>'数据-汇总表'!E14</f>
        <v>0</v>
      </c>
      <c r="F59" s="611" t="e">
        <f t="shared" si="15"/>
        <v>#DIV/0!</v>
      </c>
      <c r="G59" s="1831" t="s">
        <v>1886</v>
      </c>
      <c r="H59" s="834">
        <f>项目基本情况!B37</f>
        <v>0</v>
      </c>
      <c r="I59" s="727">
        <f>SUMIF(修正!A57:A68,H59,修正!G57:G68)</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5" thickBot="1">
      <c r="A60" s="613" t="s">
        <v>1896</v>
      </c>
      <c r="B60" s="210" t="e">
        <f t="shared" si="17"/>
        <v>#DIV/0!</v>
      </c>
      <c r="C60" s="163">
        <f t="shared" si="16"/>
        <v>0</v>
      </c>
      <c r="D60" s="891">
        <v>0.25</v>
      </c>
      <c r="E60" s="209">
        <f>'数据-汇总表'!E15</f>
        <v>0</v>
      </c>
      <c r="F60" s="611" t="e">
        <f t="shared" si="15"/>
        <v>#DIV/0!</v>
      </c>
      <c r="G60" s="1832" t="s">
        <v>1890</v>
      </c>
      <c r="H60" s="844">
        <f>项目基本情况!C37</f>
        <v>0</v>
      </c>
      <c r="I60" s="727">
        <f>SUMIF(修正!A57:A68,H60,修正!G57:G68)</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5" thickBot="1">
      <c r="A61" s="615" t="s">
        <v>1897</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2023-12-1</v>
      </c>
      <c r="D63" s="656">
        <f>EDATE(C63,-3)</f>
        <v>45170</v>
      </c>
      <c r="E63" s="656">
        <f>EDATE(D63,-3)</f>
        <v>45078</v>
      </c>
      <c r="F63" s="656">
        <f t="shared" ref="F63:O63" si="18">EDATE(E63,-3)</f>
        <v>44986</v>
      </c>
      <c r="G63" s="656">
        <f t="shared" si="18"/>
        <v>44896</v>
      </c>
      <c r="H63" s="656">
        <f t="shared" si="18"/>
        <v>44805</v>
      </c>
      <c r="I63" s="656">
        <f t="shared" si="18"/>
        <v>44713</v>
      </c>
      <c r="J63" s="656">
        <f t="shared" si="18"/>
        <v>44621</v>
      </c>
      <c r="K63" s="656">
        <f t="shared" si="18"/>
        <v>44531</v>
      </c>
      <c r="L63" s="656">
        <f t="shared" si="18"/>
        <v>44440</v>
      </c>
      <c r="M63" s="656">
        <f t="shared" si="18"/>
        <v>44348</v>
      </c>
      <c r="N63" s="656">
        <f t="shared" si="18"/>
        <v>44256</v>
      </c>
      <c r="O63" s="656">
        <f t="shared" si="18"/>
        <v>44166</v>
      </c>
      <c r="P63" s="2482"/>
      <c r="Q63" s="2482"/>
      <c r="R63" s="2482"/>
      <c r="S63" s="2482"/>
      <c r="T63" s="2482"/>
      <c r="U63" s="2482"/>
      <c r="V63" s="2482"/>
      <c r="W63" s="2482"/>
      <c r="X63" s="2482"/>
      <c r="Y63" s="2482"/>
      <c r="Z63" s="2482"/>
      <c r="AA63" s="2482"/>
      <c r="AB63" s="2482"/>
      <c r="AC63" s="2482"/>
      <c r="AD63" s="2482"/>
      <c r="AE63" s="2482"/>
    </row>
    <row r="64" spans="1:31" ht="21.75" thickBot="1">
      <c r="A64" s="658" t="s">
        <v>1792</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5">
      <c r="A65" s="1629" t="s">
        <v>1898</v>
      </c>
      <c r="B65" s="1046"/>
      <c r="C65" s="1100" t="str">
        <f>YEAR(C63)&amp;"-"&amp;ROUNDUP(MONTH(C63)/3,0)</f>
        <v>2023-4</v>
      </c>
      <c r="D65" s="1100" t="str">
        <f t="shared" ref="D65:O65" si="19">YEAR(D63)&amp;"-"&amp;ROUNDUP(MONTH(D63)/3,0)</f>
        <v>2023-3</v>
      </c>
      <c r="E65" s="1100" t="str">
        <f t="shared" si="19"/>
        <v>2023-2</v>
      </c>
      <c r="F65" s="1100" t="str">
        <f t="shared" si="19"/>
        <v>2023-1</v>
      </c>
      <c r="G65" s="1100" t="str">
        <f t="shared" si="19"/>
        <v>2022-4</v>
      </c>
      <c r="H65" s="1100" t="str">
        <f t="shared" si="19"/>
        <v>2022-3</v>
      </c>
      <c r="I65" s="1100" t="str">
        <f t="shared" si="19"/>
        <v>2022-2</v>
      </c>
      <c r="J65" s="1100" t="str">
        <f t="shared" si="19"/>
        <v>2022-1</v>
      </c>
      <c r="K65" s="1100" t="str">
        <f t="shared" si="19"/>
        <v>2021-4</v>
      </c>
      <c r="L65" s="1100" t="str">
        <f t="shared" si="19"/>
        <v>2021-3</v>
      </c>
      <c r="M65" s="1100" t="str">
        <f t="shared" si="19"/>
        <v>2021-2</v>
      </c>
      <c r="N65" s="1100" t="str">
        <f t="shared" si="19"/>
        <v>2021-1</v>
      </c>
      <c r="O65" s="1100" t="str">
        <f t="shared" si="19"/>
        <v>2020-4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7" t="s">
        <v>1918</v>
      </c>
      <c r="B66" s="280" t="str">
        <f>"北京市平均增长率"&amp;TEXT(基准地价修正!P28,"0.00%")</f>
        <v>北京市平均增长率0.00%</v>
      </c>
      <c r="C66" s="530">
        <v>100</v>
      </c>
      <c r="D66" s="6"/>
      <c r="E66" s="6"/>
      <c r="F66" s="6"/>
      <c r="G66" s="6"/>
      <c r="H66" s="6"/>
      <c r="I66" s="6"/>
      <c r="J66" s="6"/>
      <c r="K66" s="6"/>
      <c r="L66" s="6"/>
      <c r="M66" s="1066"/>
      <c r="N66" s="1066"/>
      <c r="O66" s="1098"/>
      <c r="P66" s="2503"/>
      <c r="Q66" s="2435"/>
      <c r="R66" s="2435"/>
      <c r="S66" s="2435"/>
      <c r="T66" s="2435"/>
      <c r="U66" s="2435"/>
      <c r="V66" s="2435"/>
      <c r="W66" s="2435"/>
      <c r="X66" s="2435"/>
      <c r="Y66" s="2435"/>
      <c r="Z66" s="2435"/>
      <c r="AA66" s="2435"/>
      <c r="AB66" s="2435"/>
      <c r="AC66" s="2435"/>
      <c r="AD66" s="2435"/>
      <c r="AE66" s="2435"/>
    </row>
    <row r="67" spans="1:31" s="102" customFormat="1" ht="15.75" thickBot="1">
      <c r="A67" s="449" t="s">
        <v>1710</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5">
      <c r="A68" s="455" t="s">
        <v>1675</v>
      </c>
      <c r="B68" s="444"/>
      <c r="C68" s="456" t="s">
        <v>1770</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c r="A70" s="379" t="s">
        <v>1713</v>
      </c>
      <c r="B70" s="460" t="s">
        <v>1679</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1682</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1684</v>
      </c>
      <c r="B83" s="460" t="s">
        <v>1823</v>
      </c>
      <c r="C83" s="504" t="s">
        <v>1715</v>
      </c>
      <c r="D83" s="504" t="s">
        <v>1716</v>
      </c>
      <c r="E83" s="504" t="s">
        <v>1717</v>
      </c>
      <c r="F83" s="504" t="s">
        <v>1718</v>
      </c>
      <c r="G83" s="504" t="s">
        <v>1719</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1720</v>
      </c>
      <c r="C85" s="509" t="s">
        <v>1715</v>
      </c>
      <c r="D85" s="509" t="s">
        <v>1716</v>
      </c>
      <c r="E85" s="509" t="s">
        <v>1717</v>
      </c>
      <c r="F85" s="509" t="s">
        <v>1718</v>
      </c>
      <c r="G85" s="509" t="s">
        <v>1719</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1901</v>
      </c>
      <c r="C87" s="504" t="s">
        <v>1715</v>
      </c>
      <c r="D87" s="504" t="s">
        <v>1716</v>
      </c>
      <c r="E87" s="504" t="s">
        <v>1717</v>
      </c>
      <c r="F87" s="504" t="s">
        <v>1718</v>
      </c>
      <c r="G87" s="504" t="s">
        <v>1719</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7.75" thickTop="1">
      <c r="A89" s="370"/>
      <c r="B89" s="469" t="s">
        <v>1902</v>
      </c>
      <c r="C89" s="504" t="s">
        <v>1715</v>
      </c>
      <c r="D89" s="504" t="s">
        <v>1716</v>
      </c>
      <c r="E89" s="504" t="s">
        <v>1717</v>
      </c>
      <c r="F89" s="504" t="s">
        <v>1718</v>
      </c>
      <c r="G89" s="504" t="s">
        <v>1719</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75" thickTop="1">
      <c r="A91" s="484"/>
      <c r="B91" s="469" t="s">
        <v>1772</v>
      </c>
      <c r="C91" s="504" t="s">
        <v>1715</v>
      </c>
      <c r="D91" s="504" t="s">
        <v>1716</v>
      </c>
      <c r="E91" s="504" t="s">
        <v>1717</v>
      </c>
      <c r="F91" s="504" t="s">
        <v>1718</v>
      </c>
      <c r="G91" s="504" t="s">
        <v>1719</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1919</v>
      </c>
      <c r="C93" s="581" t="s">
        <v>1793</v>
      </c>
      <c r="D93" s="581" t="s">
        <v>1794</v>
      </c>
      <c r="E93" s="581" t="s">
        <v>1795</v>
      </c>
      <c r="F93" s="581" t="s">
        <v>1796</v>
      </c>
      <c r="G93" s="581" t="s">
        <v>1797</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1903</v>
      </c>
      <c r="D95" s="470" t="s">
        <v>1904</v>
      </c>
      <c r="E95" s="470" t="s">
        <v>1905</v>
      </c>
      <c r="F95" s="470" t="s">
        <v>1906</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1809</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1867</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1688</v>
      </c>
      <c r="B107" s="460" t="s">
        <v>1907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1908</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1910</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1911</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42" priority="13" stopIfTrue="1">
      <formula>$F$46="超过30%"</formula>
    </cfRule>
  </conditionalFormatting>
  <conditionalFormatting sqref="E47">
    <cfRule type="expression" dxfId="41" priority="53" stopIfTrue="1">
      <formula>#REF!+$F$47="超过20%"</formula>
    </cfRule>
  </conditionalFormatting>
  <conditionalFormatting sqref="E48">
    <cfRule type="expression" dxfId="40" priority="10" stopIfTrue="1">
      <formula>$F$48="超过30%"</formula>
    </cfRule>
  </conditionalFormatting>
  <conditionalFormatting sqref="F7:F40 H7:H40 J7:J40">
    <cfRule type="cellIs" dxfId="39" priority="1" operator="notEqual">
      <formula>100</formula>
    </cfRule>
  </conditionalFormatting>
  <conditionalFormatting sqref="F42">
    <cfRule type="expression" dxfId="38" priority="4">
      <formula>$D$42="简单平均"</formula>
    </cfRule>
  </conditionalFormatting>
  <conditionalFormatting sqref="F46:F48 H46:H48 J46:J48">
    <cfRule type="containsText" dxfId="37" priority="14" stopIfTrue="1" operator="containsText" text="超过">
      <formula>NOT(ISERROR(SEARCH("超过",F46)))</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G48">
    <cfRule type="expression" dxfId="34" priority="12" stopIfTrue="1">
      <formula>$H$48="超过30%"</formula>
    </cfRule>
  </conditionalFormatting>
  <conditionalFormatting sqref="H42">
    <cfRule type="expression" dxfId="33" priority="3">
      <formula>$D$42="简单平均"</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J42">
    <cfRule type="expression" dxfId="29"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2077</v>
      </c>
      <c r="C1" s="3562" t="s">
        <v>2078</v>
      </c>
      <c r="D1" s="3563"/>
      <c r="E1" s="3563"/>
      <c r="F1" s="3563"/>
      <c r="G1" s="3563"/>
      <c r="H1" s="3563"/>
      <c r="I1" s="3563"/>
      <c r="J1" s="3563"/>
      <c r="K1" s="3563"/>
      <c r="L1" s="3563"/>
      <c r="M1" s="3563"/>
      <c r="N1" s="3563"/>
      <c r="O1" s="3563"/>
      <c r="P1" s="3563"/>
      <c r="Q1" s="3563"/>
      <c r="R1" s="3563"/>
      <c r="S1" s="3564"/>
      <c r="T1" s="929" t="s">
        <v>2079</v>
      </c>
    </row>
    <row r="2" spans="1:45" s="625" customFormat="1">
      <c r="A2" s="930"/>
      <c r="B2" s="622" t="s">
        <v>2080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2081</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2082</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2083</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2087</v>
      </c>
      <c r="B17" s="1983" t="s">
        <v>2088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2089</v>
      </c>
      <c r="E19" s="1252"/>
      <c r="F19" s="1252"/>
      <c r="G19" s="1252"/>
      <c r="H19" s="996"/>
      <c r="I19" s="151"/>
      <c r="J19" s="151"/>
      <c r="K19" s="151"/>
      <c r="L19" s="151"/>
      <c r="M19" s="151"/>
      <c r="N19" s="151"/>
      <c r="O19" s="151"/>
      <c r="P19" s="151"/>
      <c r="Q19" s="151"/>
      <c r="R19" s="151"/>
      <c r="S19" s="121"/>
    </row>
    <row r="20" spans="1:45" ht="16.5" thickBot="1">
      <c r="A20" s="632" t="s">
        <v>2090</v>
      </c>
      <c r="B20" s="286" t="e">
        <f ca="1">IF(D20="——",S22,S22-F20)</f>
        <v>#REF!</v>
      </c>
      <c r="C20" s="151"/>
      <c r="D20" s="1985"/>
      <c r="E20" s="1253"/>
      <c r="F20" s="929" t="e">
        <f ca="1">SUMIF(INDIRECT("'"&amp;H20&amp;"'"&amp;"!A:A"),"承租人权益价值",INDIRECT("'"&amp;H20&amp;"'"&amp;"!c:c"))</f>
        <v>#REF!</v>
      </c>
      <c r="G20" s="929" t="s">
        <v>2091</v>
      </c>
      <c r="H20" s="1986"/>
      <c r="I20" s="151"/>
      <c r="J20" s="151"/>
      <c r="K20" s="151"/>
      <c r="L20" s="151"/>
      <c r="M20" s="151"/>
      <c r="N20" s="151"/>
      <c r="O20" s="151"/>
      <c r="P20" s="151"/>
      <c r="Q20" s="151"/>
      <c r="R20" s="151"/>
      <c r="S20" s="121"/>
    </row>
    <row r="21" spans="1:45" ht="15.75">
      <c r="A21" s="632" t="s">
        <v>2092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0</v>
      </c>
      <c r="C22" s="3559" t="s">
        <v>27</v>
      </c>
      <c r="D22" s="3560"/>
      <c r="E22" s="3560"/>
      <c r="F22" s="3560"/>
      <c r="G22" s="3560"/>
      <c r="H22" s="3560"/>
      <c r="I22" s="3560"/>
      <c r="J22" s="3560"/>
      <c r="K22" s="3560"/>
      <c r="L22" s="3560"/>
      <c r="M22" s="3560"/>
      <c r="N22" s="3560"/>
      <c r="O22" s="3560"/>
      <c r="P22" s="3560"/>
      <c r="Q22" s="3561"/>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2099</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902</v>
      </c>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估价结果一览表（市场价值不需“结果表-1”）</v>
      </c>
      <c r="B3" s="3271"/>
      <c r="C3" s="3271"/>
      <c r="D3" s="3271"/>
      <c r="E3" s="3271"/>
    </row>
    <row r="4" spans="1:5" ht="19.5" thickBot="1">
      <c r="A4" s="1390"/>
      <c r="B4" s="3269" t="s">
        <v>911</v>
      </c>
      <c r="C4" s="3269"/>
      <c r="D4" s="3269"/>
      <c r="E4" s="1390"/>
    </row>
    <row r="5" spans="1:5" ht="16.5" thickTop="1">
      <c r="B5" s="3267" t="s">
        <v>903</v>
      </c>
      <c r="C5" s="1391" t="s">
        <v>904</v>
      </c>
      <c r="D5" s="797">
        <f ca="1">结果表!H101</f>
        <v>73588</v>
      </c>
    </row>
    <row r="6" spans="1:5" ht="15.75">
      <c r="B6" s="3267"/>
      <c r="C6" s="1391" t="s">
        <v>905</v>
      </c>
      <c r="D6" s="797" t="str">
        <f ca="1">NUMBERSTRING(INT(D5*10000),2)&amp;"元整"</f>
        <v>柒亿叁仟伍佰捌拾捌万元整</v>
      </c>
    </row>
    <row r="7" spans="1:5" ht="15.75">
      <c r="B7" s="3272"/>
      <c r="C7" s="1392" t="s">
        <v>906</v>
      </c>
      <c r="D7" s="798">
        <f ca="1">结果表!H102</f>
        <v>8600</v>
      </c>
    </row>
    <row r="8" spans="1:5" ht="15.75">
      <c r="B8" s="3273" t="str">
        <f>结果表!E103</f>
        <v>2.估价师知悉的法定优先受偿款</v>
      </c>
      <c r="C8" s="1393" t="s">
        <v>907</v>
      </c>
      <c r="D8" s="798">
        <f>结果表!H103</f>
        <v>0</v>
      </c>
    </row>
    <row r="9" spans="1:5" ht="15.75">
      <c r="B9" s="3275"/>
      <c r="C9" s="1391" t="s">
        <v>905</v>
      </c>
      <c r="D9" s="797" t="str">
        <f>NUMBERSTRING(INT(D8*10000),2)&amp;"元整"</f>
        <v>零元整</v>
      </c>
    </row>
    <row r="10" spans="1:5" ht="15">
      <c r="B10" s="1394" t="s">
        <v>910</v>
      </c>
      <c r="C10" s="1395" t="s">
        <v>908</v>
      </c>
      <c r="D10" s="799">
        <f>结果表!H104</f>
        <v>0</v>
      </c>
    </row>
    <row r="11" spans="1:5" ht="15">
      <c r="B11" s="1394" t="s">
        <v>912</v>
      </c>
      <c r="C11" s="1395" t="s">
        <v>913</v>
      </c>
      <c r="D11" s="799">
        <f>结果表!H105</f>
        <v>0</v>
      </c>
    </row>
    <row r="12" spans="1:5" ht="15">
      <c r="B12" s="1394" t="s">
        <v>914</v>
      </c>
      <c r="C12" s="1395" t="s">
        <v>913</v>
      </c>
      <c r="D12" s="799">
        <f>结果表!H106</f>
        <v>0</v>
      </c>
    </row>
    <row r="13" spans="1:5" ht="15.75">
      <c r="B13" s="3266" t="str">
        <f>结果表!E107</f>
        <v>3.房地产抵押价值</v>
      </c>
      <c r="C13" s="1396" t="s">
        <v>904</v>
      </c>
      <c r="D13" s="800">
        <f ca="1">结果表!H107</f>
        <v>73588</v>
      </c>
    </row>
    <row r="14" spans="1:5" ht="15.75">
      <c r="B14" s="3267"/>
      <c r="C14" s="1391" t="s">
        <v>905</v>
      </c>
      <c r="D14" s="797" t="str">
        <f ca="1">NUMBERSTRING(INT(D13*10000),2)&amp;"元整"</f>
        <v>柒亿叁仟伍佰捌拾捌万元整</v>
      </c>
    </row>
    <row r="15" spans="1:5" ht="15">
      <c r="B15" s="3272"/>
      <c r="C15" s="1392" t="s">
        <v>915</v>
      </c>
      <c r="D15" s="806">
        <f ca="1">结果表!H108</f>
        <v>8600</v>
      </c>
    </row>
    <row r="16" spans="1:5" ht="15">
      <c r="B16" s="3273" t="str">
        <f>结果表!E109</f>
        <v>——</v>
      </c>
      <c r="C16" s="1396" t="s">
        <v>916</v>
      </c>
      <c r="D16" s="1397" t="str">
        <f>结果表!H109</f>
        <v>——</v>
      </c>
    </row>
    <row r="17" spans="1:5" ht="15.75">
      <c r="B17" s="3274"/>
      <c r="C17" s="1391" t="s">
        <v>917</v>
      </c>
      <c r="D17" s="797" t="e">
        <f>NUMBERSTRING(INT(D16*10000),2)&amp;"元整"</f>
        <v>#VALUE!</v>
      </c>
    </row>
    <row r="18" spans="1:5" ht="15">
      <c r="B18" s="3275"/>
      <c r="C18" s="1392" t="s">
        <v>906</v>
      </c>
      <c r="D18" s="806" t="str">
        <f>结果表!H110</f>
        <v>——</v>
      </c>
    </row>
    <row r="19" spans="1:5" ht="15.75">
      <c r="B19" s="3266" t="str">
        <f>结果表!E111</f>
        <v>——</v>
      </c>
      <c r="C19" s="1396" t="s">
        <v>904</v>
      </c>
      <c r="D19" s="798" t="str">
        <f>结果表!H111</f>
        <v>——</v>
      </c>
    </row>
    <row r="20" spans="1:5" ht="15.75">
      <c r="B20" s="3267"/>
      <c r="C20" s="1391" t="s">
        <v>917</v>
      </c>
      <c r="D20" s="797" t="e">
        <f>NUMBERSTRING(INT(D19*10000),2)&amp;"元整"</f>
        <v>#VALUE!</v>
      </c>
    </row>
    <row r="21" spans="1:5" ht="15.75" thickBot="1">
      <c r="B21" s="3268"/>
      <c r="C21" s="1398" t="s">
        <v>915</v>
      </c>
      <c r="D21" s="807" t="str">
        <f>结果表!H112</f>
        <v>——</v>
      </c>
    </row>
    <row r="22" spans="1:5" ht="15" thickTop="1">
      <c r="B22" s="1399" t="s">
        <v>918</v>
      </c>
    </row>
    <row r="24" spans="1:5" ht="18.75">
      <c r="A24" s="1400"/>
      <c r="B24" s="1401" t="s">
        <v>909</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4145</v>
      </c>
      <c r="D1" s="646"/>
      <c r="E1" s="646"/>
      <c r="F1" s="1620" t="s">
        <v>1257</v>
      </c>
      <c r="G1" s="1452" t="s">
        <v>3384</v>
      </c>
      <c r="H1" s="1620" t="str">
        <f>IF(G1="现房","——","估价对象范围")</f>
        <v>——</v>
      </c>
      <c r="I1" s="1621" t="s">
        <v>4151</v>
      </c>
    </row>
    <row r="2" spans="1:12" ht="21.75" customHeight="1" thickBot="1">
      <c r="A2" s="3399" t="str">
        <f>项目基本情况!S2</f>
        <v>河北省张家口市下花园区110国道北侧“京北金茂悦”项目房地产</v>
      </c>
      <c r="B2" s="3400"/>
      <c r="C2" s="3400"/>
      <c r="D2" s="3400"/>
      <c r="E2" s="3400"/>
      <c r="F2" s="3400"/>
      <c r="G2" s="3400"/>
      <c r="H2" s="3400"/>
      <c r="I2" s="3401"/>
    </row>
    <row r="3" spans="1:12" ht="12.75">
      <c r="A3" s="3403" t="s">
        <v>1258</v>
      </c>
      <c r="B3" s="3404"/>
      <c r="C3" s="3404"/>
      <c r="D3" s="3404"/>
      <c r="E3" s="3404"/>
      <c r="F3" s="3404"/>
      <c r="G3" s="3404"/>
      <c r="H3" s="3404"/>
      <c r="I3" s="3404"/>
    </row>
    <row r="4" spans="1:12" ht="14.25">
      <c r="A4" s="1623" t="s">
        <v>1259</v>
      </c>
      <c r="B4" s="1624" t="s">
        <v>1260</v>
      </c>
      <c r="C4" s="1625" t="s">
        <v>4149</v>
      </c>
      <c r="D4" s="1625" t="s">
        <v>4155</v>
      </c>
      <c r="E4" s="3405" t="s">
        <v>1261</v>
      </c>
      <c r="F4" s="3406"/>
      <c r="G4" s="3406"/>
      <c r="H4" s="3406"/>
      <c r="I4" s="3407"/>
      <c r="K4" s="138" t="str">
        <f>IF(ISNUMBER(FIND("比较法",'结果表-商业'!C4)),"比较法",IF(ISNUMBER(FIND("成本法",'结果表-商业'!C4)),"成本法",IF(ISNUMBER(FIND("假设开发法",'结果表-商业'!C4)),"假设开发法",IF(ISNUMBER(FIND("收益法",'结果表-商业'!C4)),"收益法","基准地价系数修正法"))))</f>
        <v>收益法</v>
      </c>
      <c r="L4" s="138"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2.75">
      <c r="A5" s="3379" t="s">
        <v>1262</v>
      </c>
      <c r="B5" s="3366">
        <v>25</v>
      </c>
      <c r="C5" s="3382"/>
      <c r="D5" s="3402"/>
      <c r="E5" s="123" t="s">
        <v>1263</v>
      </c>
      <c r="F5" s="1626"/>
      <c r="G5" s="1626"/>
      <c r="H5" s="1626"/>
      <c r="I5" s="1280"/>
    </row>
    <row r="6" spans="1:12" ht="12.75">
      <c r="A6" s="3379"/>
      <c r="B6" s="3366"/>
      <c r="C6" s="3383"/>
      <c r="D6" s="3402"/>
      <c r="E6" s="123" t="s">
        <v>1264</v>
      </c>
      <c r="F6" s="1626"/>
      <c r="G6" s="1626"/>
      <c r="H6" s="1626"/>
      <c r="I6" s="1280"/>
    </row>
    <row r="7" spans="1:12" ht="12.75">
      <c r="A7" s="3379"/>
      <c r="B7" s="3366"/>
      <c r="C7" s="3384"/>
      <c r="D7" s="3402"/>
      <c r="E7" s="123" t="s">
        <v>1265</v>
      </c>
      <c r="F7" s="1626"/>
      <c r="G7" s="1626"/>
      <c r="H7" s="1626"/>
      <c r="I7" s="1280"/>
    </row>
    <row r="8" spans="1:12" ht="12.75">
      <c r="A8" s="3379" t="s">
        <v>1266</v>
      </c>
      <c r="B8" s="3366">
        <v>15</v>
      </c>
      <c r="C8" s="3382"/>
      <c r="D8" s="3402"/>
      <c r="E8" s="123" t="s">
        <v>1267</v>
      </c>
      <c r="F8" s="1626"/>
      <c r="G8" s="1626"/>
      <c r="H8" s="1626"/>
      <c r="I8" s="1280"/>
    </row>
    <row r="9" spans="1:12" ht="12.75">
      <c r="A9" s="3379"/>
      <c r="B9" s="3366"/>
      <c r="C9" s="3384"/>
      <c r="D9" s="3402"/>
      <c r="E9" s="123" t="s">
        <v>1268</v>
      </c>
      <c r="F9" s="1626"/>
      <c r="G9" s="1626"/>
      <c r="H9" s="1626"/>
      <c r="I9" s="1280"/>
    </row>
    <row r="10" spans="1:12" ht="12.75">
      <c r="A10" s="3379" t="s">
        <v>1269</v>
      </c>
      <c r="B10" s="3366">
        <v>15</v>
      </c>
      <c r="C10" s="3382"/>
      <c r="D10" s="3402"/>
      <c r="E10" s="123" t="s">
        <v>1270</v>
      </c>
      <c r="F10" s="1626"/>
      <c r="G10" s="1626"/>
      <c r="H10" s="1626"/>
      <c r="I10" s="1280"/>
    </row>
    <row r="11" spans="1:12" ht="12.75">
      <c r="A11" s="3379"/>
      <c r="B11" s="3366"/>
      <c r="C11" s="3384"/>
      <c r="D11" s="3402"/>
      <c r="E11" s="123" t="s">
        <v>1271</v>
      </c>
      <c r="F11" s="1626"/>
      <c r="G11" s="1626"/>
      <c r="H11" s="1626"/>
      <c r="I11" s="1280"/>
    </row>
    <row r="12" spans="1:12" ht="12.75">
      <c r="A12" s="3379" t="s">
        <v>1272</v>
      </c>
      <c r="B12" s="3366">
        <v>15</v>
      </c>
      <c r="C12" s="3382"/>
      <c r="D12" s="3402"/>
      <c r="E12" s="123" t="s">
        <v>1273</v>
      </c>
      <c r="F12" s="1626"/>
      <c r="G12" s="1626"/>
      <c r="H12" s="1626"/>
      <c r="I12" s="1280"/>
    </row>
    <row r="13" spans="1:12" ht="12.75">
      <c r="A13" s="3379"/>
      <c r="B13" s="3366"/>
      <c r="C13" s="3384"/>
      <c r="D13" s="3402"/>
      <c r="E13" s="123" t="s">
        <v>1274</v>
      </c>
      <c r="F13" s="1626"/>
      <c r="G13" s="1626"/>
      <c r="H13" s="1626"/>
      <c r="I13" s="1280"/>
    </row>
    <row r="14" spans="1:12" ht="12.75">
      <c r="A14" s="3379" t="s">
        <v>1275</v>
      </c>
      <c r="B14" s="3366">
        <v>30</v>
      </c>
      <c r="C14" s="3382">
        <v>5</v>
      </c>
      <c r="D14" s="3402">
        <v>5</v>
      </c>
      <c r="E14" s="123" t="s">
        <v>1276</v>
      </c>
      <c r="F14" s="1626"/>
      <c r="G14" s="1626"/>
      <c r="H14" s="1626"/>
      <c r="I14" s="1280"/>
    </row>
    <row r="15" spans="1:12" ht="12.75">
      <c r="A15" s="3379"/>
      <c r="B15" s="3366"/>
      <c r="C15" s="3383"/>
      <c r="D15" s="3402"/>
      <c r="E15" s="123" t="s">
        <v>1277</v>
      </c>
      <c r="F15" s="1626"/>
      <c r="G15" s="1626"/>
      <c r="H15" s="1626"/>
      <c r="I15" s="1280"/>
    </row>
    <row r="16" spans="1:12" ht="12.75">
      <c r="A16" s="3379"/>
      <c r="B16" s="3366"/>
      <c r="C16" s="3384"/>
      <c r="D16" s="3402"/>
      <c r="E16" s="123" t="s">
        <v>1278</v>
      </c>
      <c r="F16" s="1626"/>
      <c r="G16" s="1626"/>
      <c r="H16" s="1626"/>
      <c r="I16" s="1280"/>
    </row>
    <row r="17" spans="1:36" ht="15">
      <c r="A17" s="1627" t="s">
        <v>1279</v>
      </c>
      <c r="B17" s="54"/>
      <c r="C17" s="124">
        <f>SUM(C5:C16)</f>
        <v>5</v>
      </c>
      <c r="D17" s="124">
        <f>SUM(D5:D16)</f>
        <v>5</v>
      </c>
      <c r="E17" s="121"/>
      <c r="F17" s="121"/>
      <c r="G17" s="121"/>
      <c r="H17" s="121"/>
      <c r="I17" s="121"/>
      <c r="K17" s="294"/>
      <c r="L17" s="294" t="s">
        <v>1280</v>
      </c>
      <c r="M17" s="294" t="s">
        <v>1281</v>
      </c>
    </row>
    <row r="18" spans="1:36" ht="31.9" customHeight="1" thickBot="1">
      <c r="A18" s="1628" t="s">
        <v>1282</v>
      </c>
      <c r="B18" s="1541"/>
      <c r="C18" s="125">
        <f>ROUND(C17/SUM(C17:D17),2)</f>
        <v>0.5</v>
      </c>
      <c r="D18" s="125">
        <f>1-C18</f>
        <v>0.5</v>
      </c>
      <c r="E18" s="3389" t="s">
        <v>2125</v>
      </c>
      <c r="F18" s="3390"/>
      <c r="G18" s="3390"/>
      <c r="H18" s="3390"/>
      <c r="I18" s="3390"/>
      <c r="K18" s="294" t="s">
        <v>1283</v>
      </c>
      <c r="L18" s="294">
        <f>IF(C1="",'数据-汇总表'!E3,SUMIF(项目类型,C1,'数据-汇总表'!E17:E26)+SUMIF(项目类型,C1,'数据-汇总表'!I17:I26))</f>
        <v>625.88</v>
      </c>
      <c r="M18" s="294">
        <f>IF(C1="",'数据-汇总表'!E3,SUMIF(项目类型,C1,'数据-汇总表'!E17:E26))</f>
        <v>625.88</v>
      </c>
    </row>
    <row r="19" spans="1:36" ht="15">
      <c r="A19" s="1629" t="s">
        <v>1284</v>
      </c>
      <c r="B19" s="1630" t="s">
        <v>1285</v>
      </c>
      <c r="C19" s="126">
        <f ca="1">SUMIF(INDIRECT("'"&amp;C4&amp;"'"&amp;"!A:A"),'结果表-商业'!B19,INDIRECT("'"&amp;C4&amp;"'"&amp;"!B:B"))</f>
        <v>450</v>
      </c>
      <c r="D19" s="127">
        <f ca="1">SUMIF(INDIRECT("'"&amp;D4&amp;"'"&amp;"!A:A"),'结果表-商业'!B19,INDIRECT("'"&amp;D4&amp;"'"&amp;"!B:B"))</f>
        <v>473</v>
      </c>
      <c r="E19" s="1629" t="s">
        <v>1286</v>
      </c>
      <c r="F19" s="1630" t="s">
        <v>1285</v>
      </c>
      <c r="G19" s="128">
        <f ca="1">ROUND(C19*$C$18+D19*$D$18,0)</f>
        <v>462</v>
      </c>
      <c r="H19" s="1631" t="s">
        <v>1287</v>
      </c>
      <c r="I19" s="121"/>
      <c r="J19" s="684">
        <v>460</v>
      </c>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SUMIF(INDIRECT("'"&amp;C4&amp;"'"&amp;"!A:A"),'结果表-商业'!B20,INDIRECT("'"&amp;C4&amp;"'"&amp;"!B:B"))</f>
        <v>7190</v>
      </c>
      <c r="D20" s="130">
        <f ca="1">SUMIF(INDIRECT("'"&amp;D4&amp;"'"&amp;"!A:A"),'结果表-商业'!B20,INDIRECT("'"&amp;D4&amp;"'"&amp;"!B:B"))</f>
        <v>7557</v>
      </c>
      <c r="E20" s="1632"/>
      <c r="F20" s="43" t="s">
        <v>1289</v>
      </c>
      <c r="G20" s="131">
        <f ca="1">ROUND(C20*$C$18+D20*$D$18,0)</f>
        <v>7374</v>
      </c>
      <c r="H20" s="760" t="s">
        <v>1290</v>
      </c>
      <c r="I20" s="121"/>
    </row>
    <row r="21" spans="1:36" ht="15" customHeight="1" thickBot="1">
      <c r="A21" s="449"/>
      <c r="B21" s="93" t="s">
        <v>1291</v>
      </c>
      <c r="C21" s="678" t="e">
        <f ca="1">ROUND(C19*10000/L19,0)</f>
        <v>#DIV/0!</v>
      </c>
      <c r="D21" s="679" t="e">
        <f ca="1">ROUND(D19*10000/L19,0)</f>
        <v>#DIV/0!</v>
      </c>
      <c r="E21" s="449"/>
      <c r="F21" s="93" t="s">
        <v>1291</v>
      </c>
      <c r="G21" s="132" t="e">
        <f ca="1">ROUND(G19*10000/L19,0)</f>
        <v>#DIV/0!</v>
      </c>
      <c r="H21" s="1633" t="s">
        <v>1290</v>
      </c>
      <c r="I21" s="121"/>
    </row>
    <row r="22" spans="1:36" ht="15" thickBot="1">
      <c r="A22" s="1563" t="s">
        <v>1292</v>
      </c>
      <c r="B22" s="1634"/>
      <c r="C22" s="1635"/>
      <c r="D22" s="680">
        <f ca="1">IF(C19&lt;D19,D19/C19-1,C19/D19-1)</f>
        <v>5.1111111111111107E-2</v>
      </c>
      <c r="E22" s="121"/>
      <c r="F22" s="121"/>
      <c r="G22" s="121"/>
      <c r="H22" s="121"/>
      <c r="I22" s="121"/>
    </row>
    <row r="23" spans="1:36" ht="13.5" thickBot="1">
      <c r="A23" s="646"/>
      <c r="B23" s="646"/>
      <c r="C23" s="646"/>
      <c r="D23" s="646"/>
      <c r="E23" s="121"/>
      <c r="F23" s="121"/>
      <c r="G23" s="121"/>
      <c r="H23" s="121"/>
      <c r="I23" s="121"/>
    </row>
    <row r="24" spans="1:36" ht="14.25">
      <c r="A24" s="3373" t="s">
        <v>1293</v>
      </c>
      <c r="B24" s="1630" t="s">
        <v>1285</v>
      </c>
      <c r="C24" s="128">
        <f>IF(B30=0,0,D30)</f>
        <v>0</v>
      </c>
      <c r="D24" s="1636"/>
      <c r="E24" s="121"/>
      <c r="F24" s="121"/>
      <c r="G24" s="121"/>
      <c r="H24" s="121"/>
      <c r="I24" s="121"/>
    </row>
    <row r="25" spans="1:36" ht="14.25">
      <c r="A25" s="3374"/>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f ca="1">IF(D32="总价",G19-C24,G20-C25)</f>
        <v>462</v>
      </c>
      <c r="D32" s="1640" t="s">
        <v>4087</v>
      </c>
      <c r="E32" s="121"/>
      <c r="F32" s="121"/>
      <c r="G32" s="121"/>
      <c r="H32" s="121"/>
      <c r="I32" s="121"/>
    </row>
    <row r="33" spans="1:15" ht="15">
      <c r="A33" s="740" t="s">
        <v>1300</v>
      </c>
      <c r="B33" s="123"/>
      <c r="C33" s="1641" t="s">
        <v>4162</v>
      </c>
      <c r="D33" s="1642" t="s">
        <v>3821</v>
      </c>
      <c r="E33" s="1643" t="s">
        <v>1301</v>
      </c>
      <c r="F33" s="1644" t="str">
        <f>IF(D32="楼面单价","取值（单价）","取值（总价）")</f>
        <v>取值（总价）</v>
      </c>
      <c r="G33" s="121"/>
      <c r="H33" s="121"/>
      <c r="I33" s="121"/>
    </row>
    <row r="34" spans="1:15" ht="15">
      <c r="A34" s="1645"/>
      <c r="B34" s="1646" t="s">
        <v>1302</v>
      </c>
      <c r="C34" s="140">
        <f ca="1">IF(C33="自定义",F34,C32-C35)</f>
        <v>96</v>
      </c>
      <c r="D34" s="808">
        <f ca="1">IF(C33="自定义",ROUND(C34/C32,3),IF(C33="收益比率",SUMIF(INDIRECT("'"&amp;D33&amp;"'"&amp;"!b:b"),"土地收益比率",INDIRECT("'"&amp;D33&amp;"'"&amp;"!c:c")),SUMIF(INDIRECT("'"&amp;D33&amp;"'"&amp;"!b:b"),"土地成本比率",INDIRECT("'"&amp;D33&amp;"'"&amp;"!c:c"))))</f>
        <v>0.20799999999999996</v>
      </c>
      <c r="E34" s="1647" t="s">
        <v>1303</v>
      </c>
      <c r="F34" s="1242"/>
      <c r="G34" s="121"/>
      <c r="H34" s="121"/>
      <c r="I34" s="121"/>
    </row>
    <row r="35" spans="1:15" ht="15.75" thickBot="1">
      <c r="A35" s="1648"/>
      <c r="B35" s="1649" t="s">
        <v>1304</v>
      </c>
      <c r="C35" s="1090">
        <f ca="1">IF(C33="自定义",F35,ROUND(C32*D35,0))</f>
        <v>366</v>
      </c>
      <c r="D35" s="1091">
        <f ca="1">IF(C33="自定义",ROUND(C35/C32,3),IF(C33="收益比率",SUMIF(INDIRECT("'"&amp;D33&amp;"'"&amp;"!b:b"),"建筑物收益比率",INDIRECT("'"&amp;D33&amp;"'"&amp;"!c:c")),SUMIF(INDIRECT("'"&amp;D33&amp;"'"&amp;"!b:b"),"建筑物成本比率",INDIRECT("'"&amp;D33&amp;"'"&amp;"!c:c"))))</f>
        <v>0.79200000000000004</v>
      </c>
      <c r="E35" s="1650" t="s">
        <v>1305</v>
      </c>
      <c r="F35" s="146"/>
      <c r="G35" s="121"/>
      <c r="H35" s="121"/>
      <c r="I35" s="121"/>
    </row>
    <row r="36" spans="1:15" ht="15.75" thickBot="1">
      <c r="A36" s="3393" t="s">
        <v>1306</v>
      </c>
      <c r="B36" s="1651" t="s">
        <v>1307</v>
      </c>
      <c r="C36" s="137"/>
      <c r="D36" s="1652"/>
      <c r="E36" s="1566"/>
      <c r="F36" s="1653"/>
      <c r="G36" s="121"/>
      <c r="H36" s="121"/>
      <c r="I36" s="121"/>
    </row>
    <row r="37" spans="1:15" ht="15.75" thickBot="1">
      <c r="A37" s="3394"/>
      <c r="B37" s="1554" t="s">
        <v>1308</v>
      </c>
      <c r="C37" s="139"/>
      <c r="D37" s="1071"/>
      <c r="E37" s="1071"/>
      <c r="F37" s="1653"/>
      <c r="G37" s="121"/>
      <c r="H37" s="121"/>
      <c r="I37" s="121"/>
    </row>
    <row r="38" spans="1:15" ht="15.75" thickBot="1">
      <c r="A38" s="3395"/>
      <c r="B38" s="1654" t="s">
        <v>1309</v>
      </c>
      <c r="C38" s="641"/>
      <c r="D38" s="1655" t="s">
        <v>1310</v>
      </c>
      <c r="E38" s="1071"/>
      <c r="F38" s="1653"/>
      <c r="G38" s="121"/>
      <c r="H38" s="121"/>
      <c r="I38" s="121"/>
    </row>
    <row r="39" spans="1:15" ht="15">
      <c r="A39" s="1632" t="s">
        <v>1311</v>
      </c>
      <c r="B39" s="1656" t="s">
        <v>1295</v>
      </c>
      <c r="C39" s="1657" t="s">
        <v>1296</v>
      </c>
      <c r="D39" s="1657" t="s">
        <v>1314</v>
      </c>
      <c r="E39" s="1658" t="s">
        <v>1297</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70" t="s">
        <v>1320</v>
      </c>
      <c r="B45" s="3371"/>
      <c r="C45" s="3372"/>
      <c r="D45" s="147">
        <f ca="1">ROUND(H101*F45,0)</f>
        <v>462</v>
      </c>
      <c r="E45" s="148" t="s">
        <v>1321</v>
      </c>
      <c r="F45" s="149">
        <v>1</v>
      </c>
      <c r="G45" s="150" t="s">
        <v>1322</v>
      </c>
      <c r="H45" s="121"/>
      <c r="I45" s="121"/>
      <c r="J45" s="3448" t="s">
        <v>1323</v>
      </c>
      <c r="K45" s="3448"/>
      <c r="L45" s="3448"/>
      <c r="M45" s="3448"/>
      <c r="N45" s="3448"/>
      <c r="O45" s="3448"/>
    </row>
    <row r="46" spans="1:15" ht="14.25" customHeight="1">
      <c r="A46" s="3367" t="s">
        <v>1324</v>
      </c>
      <c r="B46" s="3368"/>
      <c r="C46" s="3368"/>
      <c r="D46" s="3368"/>
      <c r="E46" s="3368"/>
      <c r="F46" s="3368"/>
      <c r="G46" s="3369"/>
      <c r="H46" s="1667"/>
      <c r="I46" s="151"/>
      <c r="J46" s="2305">
        <v>1</v>
      </c>
      <c r="K46" s="3429" t="s">
        <v>1325</v>
      </c>
      <c r="L46" s="3429"/>
      <c r="M46" s="3449"/>
      <c r="N46" s="3449"/>
      <c r="O46" s="3449"/>
    </row>
    <row r="47" spans="1:15" ht="12" customHeight="1">
      <c r="A47" s="152" t="s">
        <v>1326</v>
      </c>
      <c r="B47" s="153"/>
      <c r="C47" s="154"/>
      <c r="D47" s="1024" t="s">
        <v>1327</v>
      </c>
      <c r="E47" s="294" t="s">
        <v>1328</v>
      </c>
      <c r="F47" s="155" t="s">
        <v>1329</v>
      </c>
      <c r="G47" s="2328" t="s">
        <v>1330</v>
      </c>
      <c r="H47" s="2329"/>
      <c r="I47" s="151"/>
      <c r="J47" s="2305">
        <v>2</v>
      </c>
      <c r="K47" s="3429" t="s">
        <v>1331</v>
      </c>
      <c r="L47" s="3429"/>
      <c r="M47" s="3450">
        <f>'数据-取费表'!B2</f>
        <v>45291</v>
      </c>
      <c r="N47" s="3450"/>
      <c r="O47" s="3450"/>
    </row>
    <row r="48" spans="1:15" ht="25.5">
      <c r="A48" s="3398" t="s">
        <v>1332</v>
      </c>
      <c r="B48" s="3381"/>
      <c r="C48" s="3381"/>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29" t="s">
        <v>1334</v>
      </c>
      <c r="L48" s="3429"/>
      <c r="M48" s="3451">
        <f ca="1">H101</f>
        <v>462</v>
      </c>
      <c r="N48" s="3451"/>
      <c r="O48" s="3451"/>
    </row>
    <row r="49" spans="1:35" ht="25.5" customHeight="1">
      <c r="A49" s="2148" t="s">
        <v>1335</v>
      </c>
      <c r="B49" s="3365" t="s">
        <v>1336</v>
      </c>
      <c r="C49" s="3365"/>
      <c r="D49" s="1477">
        <v>0</v>
      </c>
      <c r="E49" s="316" t="s">
        <v>1337</v>
      </c>
      <c r="F49" s="2228" t="s">
        <v>28</v>
      </c>
      <c r="G49" s="3435"/>
      <c r="H49" s="2130" t="s">
        <v>2128</v>
      </c>
      <c r="I49" s="2131"/>
      <c r="J49" s="2305">
        <v>4</v>
      </c>
      <c r="K49" s="3429" t="str">
        <f>IF(项目基本情况!E8="房地产抵押价值","房地产抵押价值","抵押担保权已注销时的房地产抵押价值")</f>
        <v>抵押担保权已注销时的房地产抵押价值</v>
      </c>
      <c r="L49" s="3429"/>
      <c r="M49" s="3451" t="str">
        <f>IF(项目基本情况!E8="房地产抵押价值",H107,H109)</f>
        <v>——</v>
      </c>
      <c r="N49" s="3451"/>
      <c r="O49" s="3451"/>
    </row>
    <row r="50" spans="1:35" ht="25.5" customHeight="1">
      <c r="A50" s="2333"/>
      <c r="B50" s="3365" t="s">
        <v>1338</v>
      </c>
      <c r="C50" s="3365"/>
      <c r="D50" s="2185"/>
      <c r="E50" s="323"/>
      <c r="F50" s="2228"/>
      <c r="G50" s="3436"/>
      <c r="H50" s="2132" t="s">
        <v>2129</v>
      </c>
      <c r="I50" s="2131"/>
      <c r="J50" s="3448" t="s">
        <v>1339</v>
      </c>
      <c r="K50" s="3448"/>
      <c r="L50" s="3448"/>
      <c r="M50" s="3448"/>
      <c r="N50" s="3448"/>
      <c r="O50" s="3448"/>
    </row>
    <row r="51" spans="1:35" ht="20.45" customHeight="1">
      <c r="A51" s="2334"/>
      <c r="B51" s="3365" t="s">
        <v>1340</v>
      </c>
      <c r="C51" s="3365"/>
      <c r="D51" s="1024"/>
      <c r="E51" s="319"/>
      <c r="F51" s="2228"/>
      <c r="G51" s="3437"/>
      <c r="H51" s="2132" t="s">
        <v>2130</v>
      </c>
      <c r="I51" s="2131"/>
      <c r="J51" s="2306" t="s">
        <v>1341</v>
      </c>
      <c r="K51" s="3429" t="s">
        <v>1342</v>
      </c>
      <c r="L51" s="3429"/>
      <c r="M51" s="2306" t="s">
        <v>1343</v>
      </c>
      <c r="N51" s="2306" t="s">
        <v>1344</v>
      </c>
      <c r="O51" s="2306" t="s">
        <v>1345</v>
      </c>
    </row>
    <row r="52" spans="1:35" ht="24" customHeight="1">
      <c r="A52" s="2149" t="s">
        <v>1346</v>
      </c>
      <c r="B52" s="3365" t="s">
        <v>1347</v>
      </c>
      <c r="C52" s="3365"/>
      <c r="D52" s="1024">
        <f ca="1">ROUND(D45*'数据-取费表'!B41/(1+'数据-取费表'!C42),0)</f>
        <v>25</v>
      </c>
      <c r="E52" s="1255" t="s">
        <v>1348</v>
      </c>
      <c r="F52" s="2335">
        <f>'数据-取费表'!B41</f>
        <v>5.6000000000000001E-2</v>
      </c>
      <c r="G52" s="2336"/>
      <c r="H52" s="2326"/>
      <c r="I52" s="1668"/>
      <c r="J52" s="2305">
        <v>1</v>
      </c>
      <c r="K52" s="3430" t="s">
        <v>1349</v>
      </c>
      <c r="L52" s="3430"/>
      <c r="M52" s="2307" t="b">
        <f>D48</f>
        <v>0</v>
      </c>
      <c r="N52" s="2305" t="str">
        <f>E48</f>
        <v>销售额×税（费）率</v>
      </c>
      <c r="O52" s="2308">
        <f>F48</f>
        <v>5.6000000000000001E-2</v>
      </c>
    </row>
    <row r="53" spans="1:35" ht="12" customHeight="1">
      <c r="A53" s="2149" t="s">
        <v>1350</v>
      </c>
      <c r="B53" s="3391" t="s">
        <v>2285</v>
      </c>
      <c r="C53" s="3392"/>
      <c r="D53" s="1024">
        <f ca="1">ROUND(D45*'数据-取费表'!B41/(1+'数据-取费表'!C42),0)</f>
        <v>25</v>
      </c>
      <c r="E53" s="1255" t="s">
        <v>1348</v>
      </c>
      <c r="F53" s="2335">
        <f>'数据-取费表'!B41</f>
        <v>5.6000000000000001E-2</v>
      </c>
      <c r="G53" s="2336"/>
      <c r="H53" s="2326"/>
      <c r="I53" s="1668"/>
      <c r="J53" s="2305">
        <v>2</v>
      </c>
      <c r="K53" s="3430" t="s">
        <v>1351</v>
      </c>
      <c r="L53" s="3430"/>
      <c r="M53" s="2307">
        <f t="shared" ref="M53:O54" ca="1" si="0">D55</f>
        <v>0</v>
      </c>
      <c r="N53" s="2305" t="str">
        <f t="shared" si="0"/>
        <v>销售额×税（费）率</v>
      </c>
      <c r="O53" s="2308" t="str">
        <f t="shared" si="0"/>
        <v>免征</v>
      </c>
    </row>
    <row r="54" spans="1:35" ht="12" customHeight="1">
      <c r="A54" s="2149" t="s">
        <v>1352</v>
      </c>
      <c r="B54" s="3391" t="s">
        <v>2286</v>
      </c>
      <c r="C54" s="3392"/>
      <c r="D54" s="1024">
        <f ca="1">C68</f>
        <v>25</v>
      </c>
      <c r="E54" s="319" t="s">
        <v>1353</v>
      </c>
      <c r="F54" s="2335">
        <f>'数据-取费表'!B41</f>
        <v>5.6000000000000001E-2</v>
      </c>
      <c r="G54" s="2336"/>
      <c r="H54" s="2337"/>
      <c r="I54" s="1668"/>
      <c r="J54" s="2305">
        <v>3</v>
      </c>
      <c r="K54" s="3430" t="s">
        <v>1354</v>
      </c>
      <c r="L54" s="3430"/>
      <c r="M54" s="2307">
        <f t="shared" ca="1" si="0"/>
        <v>261</v>
      </c>
      <c r="N54" s="2305" t="str">
        <f t="shared" si="0"/>
        <v>增值额×税（费）率</v>
      </c>
      <c r="O54" s="2309" t="str">
        <f t="shared" si="0"/>
        <v>免征</v>
      </c>
    </row>
    <row r="55" spans="1:35" ht="24" customHeight="1">
      <c r="A55" s="3380" t="s">
        <v>1355</v>
      </c>
      <c r="B55" s="3381"/>
      <c r="C55" s="3381"/>
      <c r="D55" s="12">
        <f ca="1">IF(H55="个人住宅",0,ROUND(D45*I55,0))</f>
        <v>0</v>
      </c>
      <c r="E55" s="1255" t="s">
        <v>1356</v>
      </c>
      <c r="F55" s="2335" t="str">
        <f>IF(H55="正常",I55,"免征")</f>
        <v>免征</v>
      </c>
      <c r="G55" s="2336"/>
      <c r="H55" s="2332"/>
      <c r="I55" s="157">
        <f>'数据-取费表'!B49</f>
        <v>5.0000000000000001E-4</v>
      </c>
      <c r="J55" s="2305">
        <f>IF(H59="非个人房产","",4)</f>
        <v>4</v>
      </c>
      <c r="K55" s="3430" t="str">
        <f>IF(H59="非个人房产","——","个人所得税")</f>
        <v>个人所得税</v>
      </c>
      <c r="L55" s="3430"/>
      <c r="M55" s="2310">
        <f ca="1">D59</f>
        <v>4</v>
      </c>
      <c r="N55" s="1879" t="str">
        <f>E59</f>
        <v>差额计税</v>
      </c>
      <c r="O55" s="2311">
        <f>F59</f>
        <v>0.01</v>
      </c>
    </row>
    <row r="56" spans="1:35" ht="24.75">
      <c r="A56" s="3380" t="s">
        <v>1357</v>
      </c>
      <c r="B56" s="3381"/>
      <c r="C56" s="3381"/>
      <c r="D56" s="12">
        <f ca="1">IF(H56="个人住宅",D57,D58)</f>
        <v>261</v>
      </c>
      <c r="E56" s="1255" t="s">
        <v>1358</v>
      </c>
      <c r="F56" s="2335" t="str">
        <f>IF(H56="正常",F58,"免征")</f>
        <v>免征</v>
      </c>
      <c r="G56" s="2338" t="s">
        <v>1359</v>
      </c>
      <c r="H56" s="2339"/>
      <c r="I56" s="1669"/>
      <c r="J56" s="2305" t="str">
        <f>IF(项目基本情况!K6="上海银行",IF(J55="",4,J55+1),"")</f>
        <v/>
      </c>
      <c r="K56" s="3453" t="str">
        <f>IF(项目基本情况!K6="上海银行","其他处置费用","")</f>
        <v/>
      </c>
      <c r="L56" s="3454"/>
      <c r="M56" s="2307" t="str">
        <f>IF(项目基本情况!K6="上海银行",M69,"")</f>
        <v/>
      </c>
      <c r="N56" s="3453" t="str">
        <f>IF(项目基本情况!K6="上海银行","包含处置中涉及的律师、诉讼、拍卖、评估等费用","")</f>
        <v/>
      </c>
      <c r="O56" s="3456"/>
    </row>
    <row r="57" spans="1:35" ht="12.75">
      <c r="A57" s="2149" t="s">
        <v>1335</v>
      </c>
      <c r="B57" s="3391" t="s">
        <v>1360</v>
      </c>
      <c r="C57" s="3392"/>
      <c r="D57" s="1477">
        <v>0</v>
      </c>
      <c r="E57" s="316" t="s">
        <v>1337</v>
      </c>
      <c r="F57" s="294"/>
      <c r="G57" s="2336"/>
      <c r="H57" s="2340"/>
      <c r="I57" s="1669"/>
      <c r="J57" s="3430">
        <f>IF(AND(J55="",J56=""),4,IF(项目基本情况!K6="上海银行",'结果表-商业'!J56+1,'结果表-商业'!J55+1))</f>
        <v>5</v>
      </c>
      <c r="K57" s="3430" t="s">
        <v>1361</v>
      </c>
      <c r="L57" s="2312" t="s">
        <v>1362</v>
      </c>
      <c r="M57" s="2313"/>
      <c r="N57" s="2314">
        <f ca="1">SUMIF(M52:M56,"&lt;9e307")</f>
        <v>265</v>
      </c>
      <c r="O57" s="2315"/>
      <c r="P57" s="2459" t="e">
        <f ca="1">N57/M49</f>
        <v>#VALUE!</v>
      </c>
    </row>
    <row r="58" spans="1:35" ht="24.75">
      <c r="A58" s="2149" t="s">
        <v>1346</v>
      </c>
      <c r="B58" s="3391" t="s">
        <v>1363</v>
      </c>
      <c r="C58" s="3365"/>
      <c r="D58" s="12">
        <f ca="1">IF(H58="转让取得",C81,C97)</f>
        <v>261</v>
      </c>
      <c r="E58" s="1255" t="s">
        <v>1358</v>
      </c>
      <c r="F58" s="294" t="s">
        <v>28</v>
      </c>
      <c r="G58" s="2336"/>
      <c r="H58" s="2339"/>
      <c r="I58" s="1669"/>
      <c r="J58" s="3430"/>
      <c r="K58" s="3430"/>
      <c r="L58" s="2312" t="s">
        <v>1364</v>
      </c>
      <c r="M58" s="2316"/>
      <c r="N58" s="2317" t="str">
        <f ca="1">NUMBERSTRING(INT(N57*10000),2)&amp;"元整"</f>
        <v>贰佰陆拾伍万元整</v>
      </c>
      <c r="O58" s="2318"/>
    </row>
    <row r="59" spans="1:35" ht="24.75" thickBot="1">
      <c r="A59" s="3433" t="s">
        <v>1365</v>
      </c>
      <c r="B59" s="3434"/>
      <c r="C59" s="3434"/>
      <c r="D59" s="2341">
        <f ca="1">IF(H59="非个人房产","——",IF(H59="个人住宅（满五唯一有凭证）",0,IF(H59="个人其他（无凭证）",ROUND(D45*F59,0),ROUND(C67*F59,0))))</f>
        <v>4</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31">
        <f>J57+1</f>
        <v>6</v>
      </c>
      <c r="K59" s="3430" t="s">
        <v>1366</v>
      </c>
      <c r="L59" s="2305" t="s">
        <v>1362</v>
      </c>
      <c r="M59" s="2319"/>
      <c r="N59" s="2320" t="e">
        <f ca="1">M49-N57</f>
        <v>#VALUE!</v>
      </c>
      <c r="O59" s="2321"/>
    </row>
    <row r="60" spans="1:35" ht="12" customHeight="1">
      <c r="A60" s="1670"/>
      <c r="B60" s="646"/>
      <c r="C60" s="646"/>
      <c r="D60" s="646"/>
      <c r="E60" s="1465"/>
      <c r="F60" s="1669"/>
      <c r="G60" s="1669"/>
      <c r="H60" s="151"/>
      <c r="I60" s="121"/>
      <c r="J60" s="3432"/>
      <c r="K60" s="3430"/>
      <c r="L60" s="2312" t="s">
        <v>1364</v>
      </c>
      <c r="M60" s="2316"/>
      <c r="N60" s="2317" t="e">
        <f ca="1">NUMBERSTRING(INT(N59*10000),2)&amp;"元整"</f>
        <v>#VALUE!</v>
      </c>
      <c r="O60" s="2318"/>
    </row>
    <row r="61" spans="1:35" ht="13.5" thickBot="1">
      <c r="A61" s="3378" t="s">
        <v>1367</v>
      </c>
      <c r="B61" s="3378"/>
      <c r="C61" s="3378"/>
      <c r="D61" s="3378"/>
      <c r="E61" s="3378"/>
      <c r="F61" s="1669"/>
      <c r="G61" s="1669"/>
      <c r="H61" s="151"/>
      <c r="I61" s="121"/>
      <c r="J61" s="2305">
        <f>J59+1</f>
        <v>7</v>
      </c>
      <c r="K61" s="3430" t="s">
        <v>1368</v>
      </c>
      <c r="L61" s="3430"/>
      <c r="M61" s="2322"/>
      <c r="N61" s="2323" t="e">
        <f ca="1">ROUND(N59*10000/'数据-汇总表'!E3,0)</f>
        <v>#VALUE!</v>
      </c>
      <c r="O61" s="2324"/>
    </row>
    <row r="62" spans="1:35" ht="12.75">
      <c r="A62" s="3396" t="s">
        <v>1369</v>
      </c>
      <c r="B62" s="3397"/>
      <c r="C62" s="1861"/>
      <c r="D62" s="1861" t="s">
        <v>1370</v>
      </c>
      <c r="E62" s="158" t="s">
        <v>1371</v>
      </c>
      <c r="F62" s="1669"/>
      <c r="G62" s="1669"/>
      <c r="H62" s="151"/>
      <c r="I62" s="121"/>
    </row>
    <row r="63" spans="1:35" ht="12.75">
      <c r="A63" s="165" t="s">
        <v>330</v>
      </c>
      <c r="B63" s="159" t="s">
        <v>1372</v>
      </c>
      <c r="C63" s="2345">
        <f ca="1">ROUND((C64+C65)/(1+'数据-取费表'!C42),0)</f>
        <v>440</v>
      </c>
      <c r="D63" s="159"/>
      <c r="E63" s="160"/>
      <c r="F63" s="1669"/>
      <c r="G63" s="1669"/>
      <c r="H63" s="151"/>
      <c r="I63" s="121"/>
      <c r="J63" s="3455"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f ca="1">D45</f>
        <v>462</v>
      </c>
      <c r="D64" s="162" t="s">
        <v>26</v>
      </c>
      <c r="E64" s="164"/>
      <c r="F64" s="1669"/>
      <c r="G64" s="1669"/>
      <c r="H64" s="151"/>
      <c r="I64" s="121"/>
      <c r="J64" s="3455"/>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55"/>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55"/>
      <c r="K66" s="1244" t="s">
        <v>1381</v>
      </c>
      <c r="L66" s="1244" t="e">
        <f>M49*0.5%</f>
        <v>#VALUE!</v>
      </c>
      <c r="M66" s="294" t="e">
        <f>IF(L66&gt;0.5,0.5,ROUND(L66,0))</f>
        <v>#VALUE!</v>
      </c>
      <c r="N66" s="2326" t="s">
        <v>1382</v>
      </c>
      <c r="Z66" s="1622"/>
      <c r="AI66" s="1560"/>
    </row>
    <row r="67" spans="1:35" ht="14.25" customHeight="1">
      <c r="A67" s="165" t="s">
        <v>328</v>
      </c>
      <c r="B67" s="166" t="s">
        <v>1383</v>
      </c>
      <c r="C67" s="2349">
        <f ca="1">C63-C66</f>
        <v>440</v>
      </c>
      <c r="D67" s="162" t="s">
        <v>26</v>
      </c>
      <c r="E67" s="164"/>
      <c r="F67" s="1669"/>
      <c r="G67" s="1669"/>
      <c r="H67" s="151"/>
      <c r="I67" s="121"/>
      <c r="J67" s="3455"/>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f ca="1">IF(C67&lt;=0,0,ROUND(C67*D68,0))</f>
        <v>25</v>
      </c>
      <c r="D68" s="2351">
        <f>'数据-取费表'!B41</f>
        <v>5.6000000000000001E-2</v>
      </c>
      <c r="E68" s="170"/>
      <c r="F68" s="1669"/>
      <c r="G68" s="1669"/>
      <c r="H68" s="151"/>
      <c r="I68" s="121"/>
      <c r="J68" s="3455"/>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55"/>
      <c r="K69" s="1244" t="s">
        <v>1387</v>
      </c>
      <c r="L69" s="1244"/>
      <c r="M69" s="294" t="e">
        <f>ROUND(SUM(M63:M68),0)</f>
        <v>#VALUE!</v>
      </c>
      <c r="N69" s="2327" t="e">
        <f>M69/M49</f>
        <v>#VALUE!</v>
      </c>
      <c r="Z69" s="1622"/>
      <c r="AI69" s="1560"/>
    </row>
    <row r="70" spans="1:35" s="642" customFormat="1" ht="15" thickBot="1">
      <c r="A70" s="3417" t="s">
        <v>1388</v>
      </c>
      <c r="B70" s="3418"/>
      <c r="C70" s="3418"/>
      <c r="D70" s="3418"/>
      <c r="E70" s="3418"/>
      <c r="F70" s="3418"/>
      <c r="G70" s="3418"/>
      <c r="H70" s="341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96" t="s">
        <v>1369</v>
      </c>
      <c r="B71" s="3397"/>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f ca="1">ROUND(D45/(1+'数据-取费表'!C42),0)</f>
        <v>440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391" t="s">
        <v>1396</v>
      </c>
      <c r="F76" s="3365"/>
      <c r="G76" s="3365"/>
      <c r="H76" s="34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f ca="1">ROUND(D45*D78/(1+'数据-取费表'!C42),0)</f>
        <v>3</v>
      </c>
      <c r="D78" s="2358">
        <f>'数据-取费表'!B43</f>
        <v>6.000000000000001E-3</v>
      </c>
      <c r="E78" s="3375" t="s">
        <v>1400</v>
      </c>
      <c r="F78" s="3376"/>
      <c r="G78" s="3376"/>
      <c r="H78" s="338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328</v>
      </c>
      <c r="B79" s="166" t="s">
        <v>1401</v>
      </c>
      <c r="C79" s="2349">
        <f ca="1">C72-C73</f>
        <v>437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f ca="1">IF(C79&lt;=0,0,C79/C73)</f>
        <v>145.66666666666666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f ca="1">ROUND(IF(C79&lt;=0,0,IF(C80&gt;=200%,C79*60%-C73*35%,IF(C80&gt;=100%,C79*50%-C73*15%,IF(C80&gt;=50%,C79*40%-C73*5%,IF(C80&lt;50%,C79*30%,0))))),0)</f>
        <v>261</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17" t="s">
        <v>1404</v>
      </c>
      <c r="B83" s="3418"/>
      <c r="C83" s="3418"/>
      <c r="D83" s="3418"/>
      <c r="E83" s="3418"/>
      <c r="F83" s="3418"/>
      <c r="G83" s="3418"/>
      <c r="H83" s="34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96" t="s">
        <v>1369</v>
      </c>
      <c r="B84" s="3397"/>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f ca="1">ROUND(D45/(1+'数据-取费表'!C42),0)</f>
        <v>440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f ca="1">IF(H88="仅含出让金",C87+C90+C91+C92+C93+C94,C87+C91+C92+C93+C94)</f>
        <v>3</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57" t="s">
        <v>2123</v>
      </c>
      <c r="H90" s="3458"/>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75" t="s">
        <v>1413</v>
      </c>
      <c r="F91" s="3376"/>
      <c r="G91" s="337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75" t="s">
        <v>1416</v>
      </c>
      <c r="F92" s="3376"/>
      <c r="G92" s="3376"/>
      <c r="H92" s="3385"/>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f ca="1">ROUND(D45*D93/(1+'数据-取费表'!C42),0)</f>
        <v>3</v>
      </c>
      <c r="D93" s="2358">
        <f>'数据-取费表'!B43</f>
        <v>6.000000000000001E-3</v>
      </c>
      <c r="E93" s="3375" t="s">
        <v>1400</v>
      </c>
      <c r="F93" s="3376"/>
      <c r="G93" s="3376"/>
      <c r="H93" s="338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386" t="s">
        <v>1420</v>
      </c>
      <c r="F94" s="3387"/>
      <c r="G94" s="3387"/>
      <c r="H94" s="338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328</v>
      </c>
      <c r="B95" s="166" t="s">
        <v>1401</v>
      </c>
      <c r="C95" s="2349">
        <f ca="1">ROUND(C85-C86,0)</f>
        <v>437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f ca="1">IF(C95&lt;=0,0,C95/C86)</f>
        <v>145.66666666666666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f ca="1">ROUND(IF(C95&lt;=0,0,IF(C96&gt;=200%,C95*60%-C86*35%,IF(C96&gt;=100%,C95*50%-C86*15%,IF(C96&gt;=50%,C95*40%-C86*5%,IF(C96&lt;50%,C95*30%,0))))),0)</f>
        <v>261</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59" t="s">
        <v>1422</v>
      </c>
      <c r="B100" s="3360"/>
      <c r="C100" s="3360"/>
      <c r="D100" s="3377"/>
      <c r="E100" s="3360" t="s">
        <v>1423</v>
      </c>
      <c r="F100" s="3360"/>
      <c r="G100" s="3360"/>
      <c r="H100" s="3377"/>
      <c r="I100" s="121"/>
    </row>
    <row r="101" spans="1:35" ht="18.75" customHeight="1">
      <c r="A101" s="3438" t="s">
        <v>1424</v>
      </c>
      <c r="B101" s="3439"/>
      <c r="C101" s="2366" t="str">
        <f>C4</f>
        <v>收益法-商业</v>
      </c>
      <c r="D101" s="2367" t="str">
        <f>D4</f>
        <v>成本法-商业</v>
      </c>
      <c r="E101" s="3452" t="s">
        <v>1425</v>
      </c>
      <c r="F101" s="3409"/>
      <c r="G101" s="1686" t="s">
        <v>1426</v>
      </c>
      <c r="H101" s="2376">
        <f ca="1">H118</f>
        <v>462</v>
      </c>
      <c r="I101" s="121"/>
    </row>
    <row r="102" spans="1:35" ht="18.75" customHeight="1">
      <c r="A102" s="3411" t="s">
        <v>1427</v>
      </c>
      <c r="B102" s="2365" t="s">
        <v>1426</v>
      </c>
      <c r="C102" s="2366">
        <f ca="1">IF(D32="楼面单价",ROUND(C19,0),C19)</f>
        <v>450</v>
      </c>
      <c r="D102" s="2367">
        <f ca="1">IF(D32="楼面单价",ROUND(D19,0),D19)</f>
        <v>473</v>
      </c>
      <c r="E102" s="3452"/>
      <c r="F102" s="3409"/>
      <c r="G102" s="1686" t="s">
        <v>1428</v>
      </c>
      <c r="H102" s="2336">
        <f ca="1">I118</f>
        <v>7382</v>
      </c>
      <c r="I102" s="121"/>
    </row>
    <row r="103" spans="1:35" ht="42.75" customHeight="1">
      <c r="A103" s="3411"/>
      <c r="B103" s="2365" t="s">
        <v>1428</v>
      </c>
      <c r="C103" s="2368">
        <f ca="1">C20</f>
        <v>7190</v>
      </c>
      <c r="D103" s="2369">
        <f ca="1">D20</f>
        <v>7557</v>
      </c>
      <c r="E103" s="3446" t="s">
        <v>1429</v>
      </c>
      <c r="F103" s="3447"/>
      <c r="G103" s="1687" t="s">
        <v>1430</v>
      </c>
      <c r="H103" s="2376">
        <f>IF(D36="正常操作",H104+H105+H106,H105+H106)</f>
        <v>0</v>
      </c>
      <c r="I103" s="121"/>
    </row>
    <row r="104" spans="1:35" ht="18.75" customHeight="1">
      <c r="A104" s="3411" t="s">
        <v>1431</v>
      </c>
      <c r="B104" s="2370" t="s">
        <v>1426</v>
      </c>
      <c r="C104" s="2371">
        <f ca="1">H118</f>
        <v>462</v>
      </c>
      <c r="D104" s="2372"/>
      <c r="E104" s="1554" t="s">
        <v>1432</v>
      </c>
      <c r="F104" s="1547"/>
      <c r="G104" s="1687" t="s">
        <v>1430</v>
      </c>
      <c r="H104" s="2377">
        <f>IF(D36="同一抵押权人同一抵押物续贷",C36&amp;"（续贷，未扣减，详见特别提示）",C36)</f>
        <v>0</v>
      </c>
      <c r="I104" s="121"/>
    </row>
    <row r="105" spans="1:35" ht="18.75" customHeight="1" thickBot="1">
      <c r="A105" s="3412"/>
      <c r="B105" s="2373" t="s">
        <v>1428</v>
      </c>
      <c r="C105" s="2374">
        <f ca="1">I118</f>
        <v>7382</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08" t="str">
        <f>IF(项目基本情况!E8="已注销","——","3.房地产抵押价值")</f>
        <v>3.房地产抵押价值</v>
      </c>
      <c r="F107" s="3409"/>
      <c r="G107" s="1686" t="s">
        <v>1426</v>
      </c>
      <c r="H107" s="2376">
        <f ca="1">IF(E107="——","——",H101-H103)</f>
        <v>462</v>
      </c>
      <c r="I107" s="121"/>
    </row>
    <row r="108" spans="1:35" ht="18.75" customHeight="1">
      <c r="A108" s="121"/>
      <c r="B108" s="121"/>
      <c r="C108" s="121"/>
      <c r="D108" s="121"/>
      <c r="E108" s="3408"/>
      <c r="F108" s="3409"/>
      <c r="G108" s="1686" t="s">
        <v>1428</v>
      </c>
      <c r="H108" s="2336">
        <f ca="1">IF(H107=H101,H102,ROUND(H107*10000/'数据-汇总表'!E3,0))</f>
        <v>7382</v>
      </c>
      <c r="I108" s="121"/>
    </row>
    <row r="109" spans="1:35" ht="18.75" customHeight="1">
      <c r="A109" s="121"/>
      <c r="B109" s="121"/>
      <c r="C109" s="121"/>
      <c r="D109" s="121"/>
      <c r="E109" s="3408" t="str">
        <f>IF(项目基本情况!E8="已注销及未注销","4.抵押担保权已注销时的房地产抵押价值",IF(项目基本情况!E8="已注销","3.抵押担保权已注销时的房地产抵押价值","——"))</f>
        <v>——</v>
      </c>
      <c r="F109" s="3409"/>
      <c r="G109" s="1686" t="s">
        <v>1426</v>
      </c>
      <c r="H109" s="2379" t="str">
        <f>IF(E109="——","——",H101-H105-H106)</f>
        <v>——</v>
      </c>
      <c r="I109" s="121"/>
    </row>
    <row r="110" spans="1:35" ht="18.75" customHeight="1">
      <c r="A110" s="121"/>
      <c r="B110" s="121"/>
      <c r="C110" s="121"/>
      <c r="D110" s="121"/>
      <c r="E110" s="3408"/>
      <c r="F110" s="3409"/>
      <c r="G110" s="1686" t="s">
        <v>1428</v>
      </c>
      <c r="H110" s="2336" t="str">
        <f>IF(H109="——","——",ROUND(H109*10000/'数据-汇总表'!E3,0))</f>
        <v>——</v>
      </c>
      <c r="I110" s="121"/>
    </row>
    <row r="111" spans="1:35" ht="18.75" customHeight="1">
      <c r="A111" s="121"/>
      <c r="B111" s="121"/>
      <c r="C111" s="121"/>
      <c r="D111" s="121"/>
      <c r="E111" s="3440" t="str">
        <f>IF(项目基本情况!E9="抵押净值",IF(OR(项目基本情况!E8="已注销",项目基本情况!E8="房地产抵押价值"),"4.抵押净值","5.抵押净值"),"——")</f>
        <v>——</v>
      </c>
      <c r="F111" s="3410"/>
      <c r="G111" s="1686" t="s">
        <v>1426</v>
      </c>
      <c r="H111" s="2376" t="str">
        <f>IF(E111="——","——",N59)</f>
        <v>——</v>
      </c>
      <c r="I111" s="121"/>
    </row>
    <row r="112" spans="1:35" ht="18.75" customHeight="1" thickBot="1">
      <c r="A112" s="121"/>
      <c r="B112" s="121"/>
      <c r="C112" s="121"/>
      <c r="D112" s="121"/>
      <c r="E112" s="3441"/>
      <c r="F112" s="3442"/>
      <c r="G112" s="1689" t="s">
        <v>1428</v>
      </c>
      <c r="H112" s="2380" t="str">
        <f>IF(E111="——","——",N61)</f>
        <v>——</v>
      </c>
      <c r="I112" s="121"/>
    </row>
    <row r="113" spans="1:27" ht="18.75" customHeight="1">
      <c r="A113" s="121"/>
      <c r="B113" s="121"/>
      <c r="C113" s="121"/>
      <c r="D113" s="121"/>
      <c r="E113" s="3413" t="s">
        <v>1434</v>
      </c>
      <c r="F113" s="3413"/>
      <c r="G113" s="3413"/>
      <c r="H113" s="3413"/>
      <c r="I113" s="121"/>
    </row>
    <row r="114" spans="1:27" ht="3.75" customHeight="1">
      <c r="A114" s="646"/>
      <c r="B114" s="646"/>
      <c r="C114" s="646"/>
      <c r="D114" s="646"/>
      <c r="E114" s="1670"/>
      <c r="F114" s="1670"/>
      <c r="G114" s="1670"/>
      <c r="H114" s="1670"/>
      <c r="I114" s="646"/>
    </row>
    <row r="115" spans="1:27" ht="18.75" customHeight="1">
      <c r="A115" s="3423" t="s">
        <v>1436</v>
      </c>
      <c r="B115" s="3424"/>
      <c r="C115" s="3424"/>
      <c r="D115" s="3424"/>
      <c r="E115" s="3424"/>
      <c r="F115" s="3424"/>
      <c r="G115" s="3424"/>
      <c r="H115" s="3424"/>
      <c r="I115" s="3425"/>
    </row>
    <row r="116" spans="1:27" ht="27" customHeight="1">
      <c r="A116" s="3379" t="s">
        <v>1437</v>
      </c>
      <c r="B116" s="3414" t="s">
        <v>4163</v>
      </c>
      <c r="C116" s="3414" t="s">
        <v>4164</v>
      </c>
      <c r="D116" s="3427" t="s">
        <v>1440</v>
      </c>
      <c r="E116" s="3428"/>
      <c r="F116" s="3422" t="s">
        <v>4165</v>
      </c>
      <c r="G116" s="3422"/>
      <c r="H116" s="3379" t="s">
        <v>1442</v>
      </c>
      <c r="I116" s="3379"/>
    </row>
    <row r="117" spans="1:27" ht="18.75" customHeight="1">
      <c r="A117" s="3379"/>
      <c r="B117" s="3415"/>
      <c r="C117" s="3415"/>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625.88</v>
      </c>
      <c r="C118" s="2146">
        <f>M19</f>
        <v>0</v>
      </c>
      <c r="D118" s="2146">
        <f ca="1">ROUND(IF(D32="总价",C34,E118*B118/10000),0)</f>
        <v>96</v>
      </c>
      <c r="E118" s="2146">
        <f ca="1">ROUND(IF(C33="自定义",IF(D32="楼面单价",C34,D118*10000/B118),I118-G118),0)</f>
        <v>1534</v>
      </c>
      <c r="F118" s="2146">
        <f ca="1">ROUND(IF(D32="总价",C35,G118*B118/10000),0)</f>
        <v>366</v>
      </c>
      <c r="G118" s="2146">
        <f ca="1">ROUND(IF(D32="楼面单价",C35,F118*10000/B118),0)</f>
        <v>5848</v>
      </c>
      <c r="H118" s="2146">
        <f ca="1">ROUND(IF(D32="总价",C32,I118*B118/10000),0)</f>
        <v>462</v>
      </c>
      <c r="I118" s="2146">
        <f ca="1">ROUND(IF(D32="楼面单价",C32,H118*10000/B118),0)</f>
        <v>7382</v>
      </c>
    </row>
    <row r="119" spans="1:27" ht="18.75" customHeight="1">
      <c r="A119" s="3379" t="s">
        <v>1446</v>
      </c>
      <c r="B119" s="3379"/>
      <c r="C119" s="3379"/>
      <c r="D119" s="3419" t="str">
        <f ca="1">NUMBERSTRING(INT(D118*10000),2)&amp;"元整"</f>
        <v>玖拾陆万元整</v>
      </c>
      <c r="E119" s="3421"/>
      <c r="F119" s="3419" t="str">
        <f ca="1">NUMBERSTRING(INT(F118*10000),2)&amp;"元整"</f>
        <v>叁佰陆拾陆万元整</v>
      </c>
      <c r="G119" s="3421"/>
      <c r="H119" s="3419" t="str">
        <f ca="1">NUMBERSTRING(INT(H118*10000),2)&amp;"元整"</f>
        <v>肆佰陆拾贰万元整</v>
      </c>
      <c r="I119" s="3421"/>
    </row>
    <row r="120" spans="1:27" ht="18.75" customHeight="1">
      <c r="A120" s="3443" t="str">
        <f>IF(项目基本情况!B9="房地产市场价值","",MID(E103,3,LEN(E103)-2))</f>
        <v/>
      </c>
      <c r="B120" s="3444"/>
      <c r="C120" s="3445"/>
      <c r="D120" s="3443">
        <f>H103</f>
        <v>0</v>
      </c>
      <c r="E120" s="3444"/>
      <c r="F120" s="3444"/>
      <c r="G120" s="3444"/>
      <c r="H120" s="3444"/>
      <c r="I120" s="344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19" t="s">
        <v>1446</v>
      </c>
      <c r="B121" s="3420"/>
      <c r="C121" s="3421"/>
      <c r="D121" s="3419" t="str">
        <f>IF(D120=0,"零元整",NUMBERSTRING(INT(D120*10000),2)&amp;"元整")</f>
        <v>零元整</v>
      </c>
      <c r="E121" s="3420"/>
      <c r="F121" s="3420"/>
      <c r="G121" s="3420"/>
      <c r="H121" s="3420"/>
      <c r="I121" s="3421"/>
      <c r="AA121" s="684"/>
    </row>
    <row r="122" spans="1:27" ht="18.75" customHeight="1">
      <c r="A122" s="3410" t="str">
        <f>IF(项目基本情况!B9="房地产市场价值","",MID(E107,3,LEN(E107)-2))</f>
        <v/>
      </c>
      <c r="B122" s="3410"/>
      <c r="C122" s="3410"/>
      <c r="D122" s="3443">
        <f ca="1">H107</f>
        <v>462</v>
      </c>
      <c r="E122" s="3444"/>
      <c r="F122" s="3444"/>
      <c r="G122" s="3444"/>
      <c r="H122" s="3444"/>
      <c r="I122" s="3445"/>
      <c r="AA122" s="684"/>
    </row>
    <row r="123" spans="1:27" ht="18.75" customHeight="1">
      <c r="A123" s="3379" t="s">
        <v>1446</v>
      </c>
      <c r="B123" s="3379"/>
      <c r="C123" s="3379"/>
      <c r="D123" s="3419" t="str">
        <f ca="1">NUMBERSTRING(INT(D122*10000),2)&amp;"元整"</f>
        <v>肆佰陆拾贰万元整</v>
      </c>
      <c r="E123" s="3420"/>
      <c r="F123" s="3420"/>
      <c r="G123" s="3420"/>
      <c r="H123" s="3420"/>
      <c r="I123" s="3421"/>
      <c r="AA123" s="684"/>
    </row>
    <row r="124" spans="1:27" ht="18.75" customHeight="1">
      <c r="A124" s="3410" t="str">
        <f>IF(项目基本情况!B9="房地产市场价值","",MID(E109,3,LEN(E109)-2))</f>
        <v/>
      </c>
      <c r="B124" s="3410"/>
      <c r="C124" s="3410"/>
      <c r="D124" s="3443" t="str">
        <f>H109</f>
        <v>——</v>
      </c>
      <c r="E124" s="3444"/>
      <c r="F124" s="3444"/>
      <c r="G124" s="3444"/>
      <c r="H124" s="3444"/>
      <c r="I124" s="3445"/>
      <c r="AA124" s="684"/>
    </row>
    <row r="125" spans="1:27" ht="18.75" customHeight="1">
      <c r="A125" s="3379" t="s">
        <v>1446</v>
      </c>
      <c r="B125" s="3379"/>
      <c r="C125" s="3379"/>
      <c r="D125" s="3419" t="e">
        <f>NUMBERSTRING(INT(D124*10000),2)&amp;"元整"</f>
        <v>#VALUE!</v>
      </c>
      <c r="E125" s="3420"/>
      <c r="F125" s="3420"/>
      <c r="G125" s="3420"/>
      <c r="H125" s="3420"/>
      <c r="I125" s="3421"/>
      <c r="AA125" s="684"/>
    </row>
    <row r="126" spans="1:27" ht="18.75" customHeight="1">
      <c r="A126" s="3410" t="str">
        <f>IF(项目基本情况!B9="房地产市场价值","",MID(E111,3,LEN(E111)-2))</f>
        <v/>
      </c>
      <c r="B126" s="3410"/>
      <c r="C126" s="3410"/>
      <c r="D126" s="3443" t="str">
        <f>H111</f>
        <v>——</v>
      </c>
      <c r="E126" s="3444"/>
      <c r="F126" s="3444"/>
      <c r="G126" s="3444"/>
      <c r="H126" s="3444"/>
      <c r="I126" s="3445"/>
      <c r="AA126" s="684"/>
    </row>
    <row r="127" spans="1:27" ht="18.75" customHeight="1">
      <c r="A127" s="3379" t="s">
        <v>1446</v>
      </c>
      <c r="B127" s="3379"/>
      <c r="C127" s="3379"/>
      <c r="D127" s="3419" t="e">
        <f>NUMBERSTRING(INT(D126*10000),2)&amp;"元整"</f>
        <v>#VALUE!</v>
      </c>
      <c r="E127" s="3420"/>
      <c r="F127" s="3420"/>
      <c r="G127" s="3420"/>
      <c r="H127" s="3420"/>
      <c r="I127" s="3421"/>
      <c r="AA127" s="684"/>
    </row>
    <row r="128" spans="1:27" ht="21.75" customHeight="1">
      <c r="A128" s="3426" t="s">
        <v>1447</v>
      </c>
      <c r="B128" s="3426"/>
      <c r="C128" s="3426"/>
      <c r="D128" s="3426"/>
      <c r="E128" s="3426"/>
      <c r="F128" s="3426"/>
      <c r="G128" s="3426"/>
      <c r="H128" s="3426"/>
      <c r="I128" s="3426"/>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C5:D7">
    <cfRule type="cellIs" dxfId="25" priority="6" stopIfTrue="1" operator="equal">
      <formula>25</formula>
    </cfRule>
  </conditionalFormatting>
  <conditionalFormatting sqref="C8:D13">
    <cfRule type="cellIs" dxfId="24" priority="5" stopIfTrue="1" operator="equal">
      <formula>15</formula>
    </cfRule>
  </conditionalFormatting>
  <conditionalFormatting sqref="C14:D16">
    <cfRule type="cellIs" dxfId="23" priority="4" stopIfTrue="1" operator="equal">
      <formula>30</formula>
    </cfRule>
  </conditionalFormatting>
  <conditionalFormatting sqref="E36">
    <cfRule type="expression" dxfId="2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4145</v>
      </c>
      <c r="C1" s="190"/>
      <c r="D1" s="190"/>
      <c r="E1" s="190"/>
      <c r="F1" s="190"/>
      <c r="G1" s="1062">
        <f>MATCH(B1,'数据-取费表'!A6:A16,0)+5</f>
        <v>7</v>
      </c>
    </row>
    <row r="2" spans="1:9" s="192" customFormat="1" ht="18" customHeight="1">
      <c r="A2" s="193" t="s">
        <v>679</v>
      </c>
      <c r="B2" s="194">
        <f ca="1">IF(D2="——",C52,C52-E2)</f>
        <v>473</v>
      </c>
      <c r="C2" s="191" t="s">
        <v>1457</v>
      </c>
      <c r="D2" s="1710" t="s">
        <v>43</v>
      </c>
      <c r="E2" s="1089" t="e">
        <f ca="1">SUMIF(INDIRECT("'"&amp;G2&amp;"'"&amp;"!A:A"),"承租人权益价值",INDIRECT("'"&amp;G2&amp;"'"&amp;"!c:c"))</f>
        <v>#REF!</v>
      </c>
      <c r="F2" s="1711" t="s">
        <v>1457</v>
      </c>
      <c r="G2" s="1712"/>
    </row>
    <row r="3" spans="1:9" s="192" customFormat="1" ht="18" customHeight="1" thickBot="1">
      <c r="A3" s="195" t="s">
        <v>680</v>
      </c>
      <c r="B3" s="196">
        <f ca="1">ROUND(B2*10000/(IF(B1="",'数据-汇总表'!E3,INDIRECT("'数据-取费表'!k"&amp;$G$1))),0)</f>
        <v>7557</v>
      </c>
      <c r="C3" s="191" t="s">
        <v>1459</v>
      </c>
      <c r="D3" s="191"/>
      <c r="E3" s="191"/>
      <c r="F3" s="191"/>
      <c r="G3" s="191"/>
    </row>
    <row r="4" spans="1:9" s="200" customFormat="1" ht="15.75">
      <c r="A4" s="197" t="s">
        <v>1460</v>
      </c>
      <c r="B4" s="198"/>
      <c r="C4" s="198"/>
      <c r="D4" s="198"/>
      <c r="E4" s="198"/>
      <c r="F4" s="198"/>
      <c r="G4" s="199"/>
    </row>
    <row r="5" spans="1:9" s="206" customFormat="1" ht="13.5" customHeight="1">
      <c r="A5" s="247" t="s">
        <v>337</v>
      </c>
      <c r="B5" s="202" t="s">
        <v>1462</v>
      </c>
      <c r="C5" s="203">
        <f ca="1">C6+C7+C8</f>
        <v>75.024708000000004</v>
      </c>
      <c r="D5" s="203" t="s">
        <v>1463</v>
      </c>
      <c r="E5" s="204" t="s">
        <v>1464</v>
      </c>
      <c r="F5" s="204" t="s">
        <v>1465</v>
      </c>
      <c r="G5" s="205"/>
    </row>
    <row r="6" spans="1:9" s="206" customFormat="1" ht="13.5" customHeight="1">
      <c r="A6" s="732" t="s">
        <v>346</v>
      </c>
      <c r="B6" s="207" t="s">
        <v>1467</v>
      </c>
      <c r="C6" s="208">
        <f ca="1">'土地比较法-住宅、综合'!C48*'成本法-商业'!D10/10000</f>
        <v>62.024707999999997</v>
      </c>
      <c r="D6" s="209"/>
      <c r="E6" s="210"/>
      <c r="F6" s="210"/>
      <c r="G6" s="211"/>
    </row>
    <row r="7" spans="1:9" s="206" customFormat="1" ht="13.5" customHeight="1">
      <c r="A7" s="732" t="s">
        <v>347</v>
      </c>
      <c r="B7" s="207" t="s">
        <v>1469</v>
      </c>
      <c r="C7" s="212">
        <f ca="1">ROUND(C6*F7,0)</f>
        <v>3</v>
      </c>
      <c r="D7" s="212"/>
      <c r="E7" s="210"/>
      <c r="F7" s="213">
        <f>IF(项目基本情况!B8="出让",0,'数据-取费表'!B48+'数据-取费表'!B49)</f>
        <v>4.0500000000000001E-2</v>
      </c>
      <c r="G7" s="211"/>
    </row>
    <row r="8" spans="1:9" s="215" customFormat="1">
      <c r="A8" s="732" t="s">
        <v>348</v>
      </c>
      <c r="B8" s="207" t="s">
        <v>1471</v>
      </c>
      <c r="C8" s="212">
        <f ca="1">IF(G8="已包含在土地购买价格中","0",IF(B1="",'数据-取费表'!B29,IF(G9="全部缴纳",C9+C10,H9)))</f>
        <v>10</v>
      </c>
      <c r="D8" s="214"/>
      <c r="E8" s="212"/>
      <c r="F8" s="213"/>
      <c r="G8" s="1713" t="s">
        <v>4154</v>
      </c>
    </row>
    <row r="9" spans="1:9" s="206" customFormat="1" ht="13.5" customHeight="1">
      <c r="A9" s="733" t="s">
        <v>355</v>
      </c>
      <c r="B9" s="216" t="s">
        <v>1472</v>
      </c>
      <c r="C9" s="217">
        <f ca="1">ROUND(D9*E9/10000,0)</f>
        <v>0</v>
      </c>
      <c r="D9" s="795">
        <f ca="1">IF(B1="",'数据-汇总表'!E5,IF(INDIRECT("'数据-取费表'!c"&amp;$G$1)="住宅",INDIRECT("'数据-取费表'!k"&amp;$G$1),0))</f>
        <v>0</v>
      </c>
      <c r="E9" s="217">
        <f>'数据-取费表'!B27</f>
        <v>120</v>
      </c>
      <c r="F9" s="213"/>
      <c r="G9" s="1714" t="s">
        <v>4152</v>
      </c>
      <c r="H9" s="1070"/>
      <c r="I9" s="1715" t="s">
        <v>1473</v>
      </c>
    </row>
    <row r="10" spans="1:9" s="206" customFormat="1" ht="13.5" customHeight="1">
      <c r="A10" s="733" t="s">
        <v>356</v>
      </c>
      <c r="B10" s="216" t="s">
        <v>1474</v>
      </c>
      <c r="C10" s="217">
        <f ca="1">ROUND(D10*E10/10000,0)</f>
        <v>10</v>
      </c>
      <c r="D10" s="795">
        <f ca="1">IF(B1="",'数据-汇总表'!E6,IF(INDIRECT("'数据-取费表'!c"&amp;$G$1)="住宅",INDIRECT("'数据-取费表'!s"&amp;$G$1),INDIRECT("'数据-取费表'!k"&amp;$G$1)+INDIRECT("'数据-取费表'!s"&amp;$G$1)))</f>
        <v>625.88</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1471</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1471</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f ca="1">D9+D10</f>
        <v>625.88</v>
      </c>
      <c r="E19" s="203">
        <f>'数据-取费表'!B31</f>
        <v>200</v>
      </c>
      <c r="F19" s="223"/>
      <c r="G19" s="1713" t="s">
        <v>4153</v>
      </c>
    </row>
    <row r="20" spans="1:7" s="206" customFormat="1" ht="13.5" customHeight="1">
      <c r="A20" s="247" t="s">
        <v>1487</v>
      </c>
      <c r="B20" s="202" t="s">
        <v>1488</v>
      </c>
      <c r="C20" s="224">
        <f ca="1">ROUND((C5+C19)*F20,0)</f>
        <v>2</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f ca="1">ROUND(SUM(C23:C25),0)</f>
        <v>5</v>
      </c>
      <c r="D22" s="227">
        <f ca="1">C26</f>
        <v>1E-3</v>
      </c>
      <c r="E22" s="228" t="s">
        <v>1492</v>
      </c>
      <c r="F22" s="229">
        <f ca="1">'数据-取费表'!B40</f>
        <v>3.4500000000000003E-2</v>
      </c>
      <c r="G22" s="226" t="str">
        <f>IF('数据-取费表'!B22&lt;=1,"单利计息","复利计息")</f>
        <v>复利计息</v>
      </c>
    </row>
    <row r="23" spans="1:7" s="206" customFormat="1" ht="13.5" customHeight="1">
      <c r="A23" s="734" t="s">
        <v>346</v>
      </c>
      <c r="B23" s="207" t="s">
        <v>1497</v>
      </c>
      <c r="C23" s="1042">
        <f ca="1">ROUND(IF('数据-取费表'!B22&lt;=1,C5*F22*'数据-取费表'!B23,C5*(POWER((1+F22),'数据-取费表'!B23)-1)),0)</f>
        <v>5</v>
      </c>
      <c r="D23" s="230"/>
      <c r="E23" s="230"/>
      <c r="F23" s="231"/>
      <c r="G23" s="232" t="s">
        <v>1498</v>
      </c>
    </row>
    <row r="24" spans="1:7" s="206" customFormat="1" ht="13.5" customHeight="1">
      <c r="A24" s="734" t="s">
        <v>347</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348</v>
      </c>
      <c r="B25" s="207" t="s">
        <v>1503</v>
      </c>
      <c r="C25" s="1042">
        <f ca="1">ROUND(IF('数据-取费表'!B22&lt;=1,C20*F22*'数据-取费表'!B23/2,C20*(POWER((1+F22),'数据-取费表'!B23/2)-1)),0)</f>
        <v>0</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f ca="1">C28</f>
        <v>15</v>
      </c>
      <c r="D27" s="227">
        <f ca="1">C29</f>
        <v>6.0000000000000001E-3</v>
      </c>
      <c r="E27" s="228" t="s">
        <v>1492</v>
      </c>
      <c r="F27" s="238">
        <f ca="1">IF(B1="",'数据-取费表'!Q16,INDIRECT("'数据-取费表'!q"&amp;$G$1))</f>
        <v>0.2</v>
      </c>
      <c r="G27" s="239" t="s">
        <v>1509</v>
      </c>
    </row>
    <row r="28" spans="1:7" s="206" customFormat="1" ht="13.5" customHeight="1">
      <c r="A28" s="734" t="s">
        <v>346</v>
      </c>
      <c r="B28" s="240" t="s">
        <v>1510</v>
      </c>
      <c r="C28" s="241">
        <f ca="1">ROUND((C5+C19+C20)*F27*'数据-取费表'!B21/'数据-取费表'!B20,0)</f>
        <v>15</v>
      </c>
      <c r="D28" s="227"/>
      <c r="E28" s="228"/>
      <c r="F28" s="238"/>
      <c r="G28" s="239"/>
    </row>
    <row r="29" spans="1:7" s="206" customFormat="1" ht="13.5" customHeight="1">
      <c r="A29" s="734" t="s">
        <v>347</v>
      </c>
      <c r="B29" s="240" t="s">
        <v>1511</v>
      </c>
      <c r="C29" s="230">
        <f ca="1">ROUND(C21*F27*'数据-取费表'!B21/'数据-取费表'!B20,4)</f>
        <v>6.0000000000000001E-3</v>
      </c>
      <c r="D29" s="227"/>
      <c r="E29" s="228"/>
      <c r="F29" s="238"/>
      <c r="G29" s="239"/>
    </row>
    <row r="30" spans="1:7" s="206" customFormat="1" ht="13.5" customHeight="1">
      <c r="A30" s="247" t="s">
        <v>1512</v>
      </c>
      <c r="B30" s="202" t="s">
        <v>1513</v>
      </c>
      <c r="C30" s="227">
        <f>ROUND(F30/(1+'数据-取费表'!C42),4)</f>
        <v>5.33E-2</v>
      </c>
      <c r="D30" s="228" t="s">
        <v>1492</v>
      </c>
      <c r="E30" s="233"/>
      <c r="F30" s="229">
        <f>'数据-取费表'!B41</f>
        <v>5.6000000000000001E-2</v>
      </c>
      <c r="G30" s="226" t="s">
        <v>1514</v>
      </c>
    </row>
    <row r="31" spans="1:7" ht="16.5" customHeight="1">
      <c r="A31" s="201">
        <v>1</v>
      </c>
      <c r="B31" s="202" t="s">
        <v>1515</v>
      </c>
      <c r="C31" s="203">
        <f ca="1">ROUND((C5+C19+C20+C22+C27)/(1-C21-D22-D27-C30),0)</f>
        <v>107</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f ca="1">SUM(C34:C38)</f>
        <v>262</v>
      </c>
      <c r="D33" s="224"/>
      <c r="E33" s="204"/>
      <c r="F33" s="233"/>
      <c r="G33" s="226"/>
    </row>
    <row r="34" spans="1:7" s="250" customFormat="1" ht="13.5" customHeight="1">
      <c r="A34" s="734" t="s">
        <v>346</v>
      </c>
      <c r="B34" s="207" t="s">
        <v>1519</v>
      </c>
      <c r="C34" s="212">
        <f ca="1">IF(B1="",IF(F34=100%,'数据-取费表'!M16,'数据-取费表'!O16),IF(F34=100%,INDIRECT("'数据-取费表'!m"&amp;$G$1)+INDIRECT("'数据-取费表'!t"&amp;$G$1),INDIRECT("'数据-取费表'!o"&amp;$G$1)+INDIRECT("'数据-取费表'!aq"&amp;$G$1)))</f>
        <v>238</v>
      </c>
      <c r="D34" s="209"/>
      <c r="E34" s="212"/>
      <c r="F34" s="249">
        <f ca="1">IF('数据-取费表'!B24=0,1,IF(B1="",'数据-取费表'!N16,INDIRECT("'数据-取费表'!n"&amp;$G$1)))</f>
        <v>1</v>
      </c>
      <c r="G34" s="211" t="s">
        <v>1520</v>
      </c>
    </row>
    <row r="35" spans="1:7" ht="13.5" customHeight="1">
      <c r="A35" s="734" t="s">
        <v>351</v>
      </c>
      <c r="B35" s="207" t="s">
        <v>1521</v>
      </c>
      <c r="C35" s="212">
        <f ca="1">ROUND(C34*F35,0)</f>
        <v>7</v>
      </c>
      <c r="D35" s="212"/>
      <c r="E35" s="212"/>
      <c r="F35" s="251">
        <f>'数据-取费表'!B33</f>
        <v>0.03</v>
      </c>
      <c r="G35" s="211" t="s">
        <v>1522</v>
      </c>
    </row>
    <row r="36" spans="1:7" ht="24">
      <c r="A36" s="734" t="s">
        <v>352</v>
      </c>
      <c r="B36" s="207" t="s">
        <v>1523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0.1</v>
      </c>
      <c r="G36" s="252" t="s">
        <v>1524</v>
      </c>
    </row>
    <row r="37" spans="1:7" s="250" customFormat="1" ht="13.5" customHeight="1">
      <c r="A37" s="734" t="s">
        <v>353</v>
      </c>
      <c r="B37" s="207" t="s">
        <v>1525</v>
      </c>
      <c r="C37" s="241">
        <f ca="1">ROUND(E37*D37*F34/10000,0)</f>
        <v>13</v>
      </c>
      <c r="D37" s="209">
        <f ca="1">D19</f>
        <v>625.88</v>
      </c>
      <c r="E37" s="241">
        <f>'数据-取费表'!B35</f>
        <v>200</v>
      </c>
      <c r="F37" s="251"/>
      <c r="G37" s="253" t="s">
        <v>1526</v>
      </c>
    </row>
    <row r="38" spans="1:7" ht="13.5" customHeight="1">
      <c r="A38" s="734" t="s">
        <v>354</v>
      </c>
      <c r="B38" s="207" t="s">
        <v>1527</v>
      </c>
      <c r="C38" s="212">
        <f ca="1">ROUND(C34*F38,0)</f>
        <v>4</v>
      </c>
      <c r="D38" s="212"/>
      <c r="E38" s="212"/>
      <c r="F38" s="251">
        <f>'数据-取费表'!B36</f>
        <v>1.4999999999999999E-2</v>
      </c>
      <c r="G38" s="211" t="s">
        <v>1522</v>
      </c>
    </row>
    <row r="39" spans="1:7" s="206" customFormat="1" ht="13.5" customHeight="1">
      <c r="A39" s="247" t="s">
        <v>1485</v>
      </c>
      <c r="B39" s="202" t="s">
        <v>1488</v>
      </c>
      <c r="C39" s="224">
        <f ca="1">ROUND(C33*F20,0)</f>
        <v>8</v>
      </c>
      <c r="D39" s="224"/>
      <c r="E39" s="224"/>
      <c r="F39" s="225">
        <f>F20</f>
        <v>0.03</v>
      </c>
      <c r="G39" s="226" t="s">
        <v>1530</v>
      </c>
    </row>
    <row r="40" spans="1:7" s="206" customFormat="1" ht="13.5" customHeight="1">
      <c r="A40" s="247" t="s">
        <v>1487</v>
      </c>
      <c r="B40" s="202" t="s">
        <v>1491</v>
      </c>
      <c r="C40" s="227">
        <f>F21</f>
        <v>0.03</v>
      </c>
      <c r="D40" s="228" t="s">
        <v>1533</v>
      </c>
      <c r="E40" s="224"/>
      <c r="F40" s="225">
        <f>F21</f>
        <v>0.03</v>
      </c>
      <c r="G40" s="226" t="s">
        <v>1534</v>
      </c>
    </row>
    <row r="41" spans="1:7" s="206" customFormat="1" ht="13.5" customHeight="1">
      <c r="A41" s="247" t="s">
        <v>1490</v>
      </c>
      <c r="B41" s="202" t="s">
        <v>1495</v>
      </c>
      <c r="C41" s="224">
        <f ca="1">ROUND(SUM(C42:C43),0)</f>
        <v>9</v>
      </c>
      <c r="D41" s="227">
        <f ca="1">C44</f>
        <v>1E-3</v>
      </c>
      <c r="E41" s="228" t="s">
        <v>1533</v>
      </c>
      <c r="F41" s="229">
        <f ca="1">F22</f>
        <v>3.4500000000000003E-2</v>
      </c>
      <c r="G41" s="226" t="str">
        <f>IF('数据-取费表'!B22&lt;=1,"单利计息","复利计息")</f>
        <v>复利计息</v>
      </c>
    </row>
    <row r="42" spans="1:7" ht="13.5" customHeight="1">
      <c r="A42" s="734" t="s">
        <v>346</v>
      </c>
      <c r="B42" s="207" t="s">
        <v>1497</v>
      </c>
      <c r="C42" s="230">
        <f ca="1">ROUND(IF('数据-取费表'!B22&lt;=1,C33*F22*'数据-取费表'!B21/2,C33*(POWER((1+F22),'数据-取费表'!B21/2)-1)),0)</f>
        <v>9</v>
      </c>
      <c r="D42" s="230"/>
      <c r="E42" s="230"/>
      <c r="F42" s="231"/>
      <c r="G42" s="3504" t="s">
        <v>1538</v>
      </c>
    </row>
    <row r="43" spans="1:7" ht="13.5" customHeight="1">
      <c r="A43" s="734" t="s">
        <v>347</v>
      </c>
      <c r="B43" s="207" t="s">
        <v>1500</v>
      </c>
      <c r="C43" s="230">
        <f ca="1">ROUND(IF('数据-取费表'!B22&lt;=1,C39*F22*'数据-取费表'!B21/2,C39*(POWER((1+F22),'数据-取费表'!B21/2)-1)),0)</f>
        <v>0</v>
      </c>
      <c r="D43" s="230"/>
      <c r="E43" s="230"/>
      <c r="F43" s="231"/>
      <c r="G43" s="3505"/>
    </row>
    <row r="44" spans="1:7" ht="13.5" customHeight="1">
      <c r="A44" s="734" t="s">
        <v>348</v>
      </c>
      <c r="B44" s="207" t="s">
        <v>1503</v>
      </c>
      <c r="C44" s="230">
        <f ca="1">ROUND(IF('数据-取费表'!B22&lt;=1,C40*F22*'数据-取费表'!B21/2,C40*(POWER((1+F22),'数据-取费表'!B21/2)-1)),4)</f>
        <v>1E-3</v>
      </c>
      <c r="D44" s="230"/>
      <c r="E44" s="230"/>
      <c r="F44" s="231"/>
      <c r="G44" s="3506"/>
    </row>
    <row r="45" spans="1:7" s="206" customFormat="1" ht="13.5" customHeight="1">
      <c r="A45" s="247" t="s">
        <v>1494</v>
      </c>
      <c r="B45" s="236" t="s">
        <v>1507</v>
      </c>
      <c r="C45" s="237">
        <f ca="1">C46</f>
        <v>54</v>
      </c>
      <c r="D45" s="227">
        <f ca="1">C47</f>
        <v>6.0000000000000001E-3</v>
      </c>
      <c r="E45" s="228" t="s">
        <v>1533</v>
      </c>
      <c r="F45" s="238">
        <f ca="1">F27</f>
        <v>0.2</v>
      </c>
      <c r="G45" s="239" t="s">
        <v>1542</v>
      </c>
    </row>
    <row r="46" spans="1:7" s="206" customFormat="1" ht="13.5" customHeight="1">
      <c r="A46" s="734" t="s">
        <v>346</v>
      </c>
      <c r="B46" s="240" t="s">
        <v>1543</v>
      </c>
      <c r="C46" s="241">
        <f ca="1">ROUND((C33+C39)*F27,0)</f>
        <v>54</v>
      </c>
      <c r="D46" s="255"/>
      <c r="E46" s="228"/>
      <c r="F46" s="238"/>
      <c r="G46" s="239"/>
    </row>
    <row r="47" spans="1:7" s="206" customFormat="1" ht="13.5" customHeight="1">
      <c r="A47" s="734" t="s">
        <v>347</v>
      </c>
      <c r="B47" s="240" t="s">
        <v>1544</v>
      </c>
      <c r="C47" s="230">
        <f ca="1">ROUND(C40*F27,4)</f>
        <v>6.0000000000000001E-3</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f ca="1">ROUND((C33+C39+C41+C45)/(1-C40-D41-D45-C48),0)</f>
        <v>366</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f ca="1">ROUND(C49*F50,0)</f>
        <v>366</v>
      </c>
      <c r="D51" s="224"/>
      <c r="E51" s="224"/>
      <c r="F51" s="256"/>
      <c r="G51" s="226" t="s">
        <v>1554</v>
      </c>
    </row>
    <row r="52" spans="1:7" s="200" customFormat="1" ht="16.5" thickBot="1">
      <c r="A52" s="257" t="s">
        <v>1555</v>
      </c>
      <c r="B52" s="258"/>
      <c r="C52" s="259">
        <f ca="1">C31+C51</f>
        <v>473</v>
      </c>
      <c r="D52" s="258"/>
      <c r="E52" s="258"/>
      <c r="F52" s="258"/>
      <c r="G52" s="260"/>
    </row>
    <row r="55" spans="1:7" ht="15">
      <c r="B55" s="262" t="s">
        <v>1556</v>
      </c>
      <c r="C55" s="263"/>
    </row>
    <row r="56" spans="1:7">
      <c r="B56" s="265" t="s">
        <v>796</v>
      </c>
      <c r="C56" s="267">
        <f ca="1">1-C57</f>
        <v>0.22599999999999998</v>
      </c>
    </row>
    <row r="57" spans="1:7">
      <c r="B57" s="265" t="s">
        <v>797</v>
      </c>
      <c r="C57" s="266">
        <f ca="1">ROUND(C51/C52,3)</f>
        <v>0.77400000000000002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13" sqref="G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4145</v>
      </c>
      <c r="D1" s="1270" t="s">
        <v>43</v>
      </c>
      <c r="E1" s="1271" t="s">
        <v>672</v>
      </c>
      <c r="F1" s="999">
        <f ca="1">J53</f>
        <v>35.58</v>
      </c>
      <c r="G1" s="1285">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f ca="1">C40+J29+L46</f>
        <v>450</v>
      </c>
      <c r="C2" s="1288" t="s">
        <v>799</v>
      </c>
      <c r="D2" s="1288"/>
      <c r="E2" s="1294"/>
      <c r="F2" s="1295"/>
      <c r="G2" s="2473"/>
      <c r="H2" s="2463"/>
      <c r="I2" s="2463"/>
      <c r="J2" s="2463"/>
      <c r="K2" s="2464"/>
      <c r="L2" s="2463"/>
      <c r="M2" s="2463"/>
    </row>
    <row r="3" spans="1:37" ht="18" customHeight="1" thickBot="1">
      <c r="A3" s="1296" t="s">
        <v>800</v>
      </c>
      <c r="B3" s="1297">
        <f ca="1">IF(ISERROR(B2*10000/F43),0,ROUND(B2*10000/F43,0))</f>
        <v>7190</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f ca="1">C6+C10+C12</f>
        <v>31</v>
      </c>
      <c r="D5" s="1272" t="s">
        <v>687</v>
      </c>
      <c r="E5" s="1008"/>
      <c r="F5" s="1009"/>
      <c r="G5" s="1291"/>
      <c r="H5" s="291">
        <v>1</v>
      </c>
      <c r="I5" s="292" t="s">
        <v>686</v>
      </c>
      <c r="J5" s="1007">
        <f ca="1">J6+J10+J12</f>
        <v>0</v>
      </c>
      <c r="K5" s="1272" t="s">
        <v>687</v>
      </c>
      <c r="L5" s="1008"/>
      <c r="M5" s="1009"/>
    </row>
    <row r="6" spans="1:37" ht="18" customHeight="1">
      <c r="A6" s="1006" t="s">
        <v>398</v>
      </c>
      <c r="B6" s="3515" t="s">
        <v>688</v>
      </c>
      <c r="C6" s="1011">
        <f ca="1">ROUND(F6*F8*F7*(1-F9)/10000,0)</f>
        <v>31</v>
      </c>
      <c r="D6" s="147" t="s">
        <v>2103</v>
      </c>
      <c r="E6" s="294" t="s">
        <v>690</v>
      </c>
      <c r="F6" s="295">
        <f ca="1">INDIRECT("'数据-取费表'!u"&amp;$G$1)</f>
        <v>1.5</v>
      </c>
      <c r="G6" s="1291"/>
      <c r="H6" s="1006" t="s">
        <v>398</v>
      </c>
      <c r="I6" s="3515" t="s">
        <v>688</v>
      </c>
      <c r="J6" s="293">
        <f ca="1">ROUND(M6*M8*M7*(1-M9)/10000,0)</f>
        <v>0</v>
      </c>
      <c r="K6" s="147" t="s">
        <v>2102</v>
      </c>
      <c r="L6" s="294" t="s">
        <v>690</v>
      </c>
      <c r="M6" s="295">
        <f ca="1">INDIRECT("'数据-取费表'!z"&amp;$G$1)</f>
        <v>0</v>
      </c>
    </row>
    <row r="7" spans="1:37" ht="18" customHeight="1">
      <c r="A7" s="1010"/>
      <c r="B7" s="3516"/>
      <c r="C7" s="1012"/>
      <c r="D7" s="299"/>
      <c r="E7" s="1013" t="s">
        <v>691</v>
      </c>
      <c r="F7" s="295">
        <f ca="1">IF(INDIRECT("'数据-取费表'!ah"&amp;$G$1)="",INDIRECT("'数据-取费表'!k"&amp;$G$1),INDIRECT("'数据-取费表'!ah"&amp;$G$1))</f>
        <v>625.88</v>
      </c>
      <c r="G7" s="1291"/>
      <c r="H7" s="296"/>
      <c r="I7" s="3516"/>
      <c r="J7" s="298"/>
      <c r="K7" s="299"/>
      <c r="L7" s="294" t="s">
        <v>691</v>
      </c>
      <c r="M7" s="295">
        <f ca="1">F7</f>
        <v>625.88</v>
      </c>
    </row>
    <row r="8" spans="1:37" ht="18" customHeight="1">
      <c r="A8" s="296"/>
      <c r="B8" s="3516"/>
      <c r="C8" s="298"/>
      <c r="D8" s="299"/>
      <c r="E8" s="294" t="s">
        <v>692</v>
      </c>
      <c r="F8" s="295">
        <f ca="1">INDIRECT("'数据-取费表'!ai"&amp;$G$1)</f>
        <v>365</v>
      </c>
      <c r="G8" s="1291"/>
      <c r="H8" s="296"/>
      <c r="I8" s="3516"/>
      <c r="J8" s="298"/>
      <c r="K8" s="299"/>
      <c r="L8" s="294" t="s">
        <v>692</v>
      </c>
      <c r="M8" s="295">
        <f ca="1">INDIRECT("'数据-取费表'!ai"&amp;$G$1)</f>
        <v>365</v>
      </c>
    </row>
    <row r="9" spans="1:37" ht="18" customHeight="1">
      <c r="A9" s="296"/>
      <c r="B9" s="3517"/>
      <c r="C9" s="298"/>
      <c r="D9" s="299"/>
      <c r="E9" s="294" t="s">
        <v>693</v>
      </c>
      <c r="F9" s="304">
        <f ca="1">INDIRECT("'数据-取费表'!w"&amp;$G$1)</f>
        <v>0.1</v>
      </c>
      <c r="G9" s="1291"/>
      <c r="H9" s="296"/>
      <c r="I9" s="3517"/>
      <c r="J9" s="298"/>
      <c r="K9" s="299"/>
      <c r="L9" s="305" t="s">
        <v>693</v>
      </c>
      <c r="M9" s="306">
        <f ca="1">INDIRECT("'数据-取费表'!ab"&amp;$G$1)</f>
        <v>0</v>
      </c>
    </row>
    <row r="10" spans="1:37" ht="18" customHeight="1">
      <c r="A10" s="1006" t="s">
        <v>402</v>
      </c>
      <c r="B10" s="1273" t="s">
        <v>694</v>
      </c>
      <c r="C10" s="308">
        <f ca="1">ROUND(IF(F10="押一",C6/12*F11,IF(F10="押二",C6/12*2*F11,IF(F10="押三",C6/12*3*F11,C11*F11))),0)</f>
        <v>0</v>
      </c>
      <c r="D10" s="150" t="s">
        <v>2110</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366</v>
      </c>
      <c r="D13" s="1018" t="s">
        <v>699</v>
      </c>
      <c r="E13" s="1018" t="s">
        <v>700</v>
      </c>
      <c r="F13" s="1019">
        <f ca="1">INDIRECT("'数据-取费表'!y"&amp;$G$1)</f>
        <v>1</v>
      </c>
      <c r="G13" s="1291"/>
      <c r="H13" s="1016">
        <v>2</v>
      </c>
      <c r="I13" s="1017" t="s">
        <v>698</v>
      </c>
      <c r="J13" s="1005">
        <f ca="1">ROUND(J14*J15,0)</f>
        <v>0</v>
      </c>
      <c r="K13" s="1024" t="s">
        <v>699</v>
      </c>
      <c r="L13" s="1298"/>
      <c r="M13" s="1299"/>
    </row>
    <row r="14" spans="1:37" ht="18" customHeight="1">
      <c r="A14" s="928" t="s">
        <v>397</v>
      </c>
      <c r="B14" s="294" t="s">
        <v>701</v>
      </c>
      <c r="C14" s="310">
        <f ca="1">INDIRECT("'数据-取费表'!m"&amp;$G$1)+INDIRECT("'数据-取费表'!t"&amp;$G$1)</f>
        <v>238</v>
      </c>
      <c r="D14" s="1256" t="s">
        <v>702</v>
      </c>
      <c r="E14" s="1254"/>
      <c r="F14" s="311"/>
      <c r="G14" s="1291"/>
      <c r="H14" s="928" t="s">
        <v>398</v>
      </c>
      <c r="I14" s="294" t="s">
        <v>703</v>
      </c>
      <c r="J14" s="21">
        <f ca="1">C29</f>
        <v>366</v>
      </c>
      <c r="K14" s="12"/>
      <c r="L14" s="759"/>
      <c r="M14" s="760"/>
    </row>
    <row r="15" spans="1:37" s="1303" customFormat="1" ht="18" customHeight="1" thickBot="1">
      <c r="A15" s="928" t="s">
        <v>399</v>
      </c>
      <c r="B15" s="294" t="s">
        <v>704</v>
      </c>
      <c r="C15" s="21">
        <f ca="1">ROUND(C14*F15,0)</f>
        <v>7</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ROUND(INDIRECT("'数据-取费表'!m"&amp;$G$1)*F16,0)</f>
        <v>0</v>
      </c>
      <c r="D16" s="294" t="s">
        <v>705</v>
      </c>
      <c r="E16" s="294" t="s">
        <v>706</v>
      </c>
      <c r="F16" s="314">
        <f ca="1">IF(INDIRECT("'数据-取费表'!c"&amp;$G$1)="住宅",'数据-取费表'!B34,0)</f>
        <v>0</v>
      </c>
      <c r="G16" s="1291"/>
      <c r="H16" s="1016" t="s">
        <v>393</v>
      </c>
      <c r="I16" s="1017" t="s">
        <v>708</v>
      </c>
      <c r="J16" s="302">
        <f ca="1">ROUND(J17+J22+J23+J24,0)</f>
        <v>3</v>
      </c>
      <c r="K16" s="1024" t="s">
        <v>709</v>
      </c>
      <c r="L16" s="1025"/>
      <c r="M16" s="1009"/>
    </row>
    <row r="17" spans="1:37" s="1303" customFormat="1" ht="18" customHeight="1">
      <c r="A17" s="928" t="s">
        <v>675</v>
      </c>
      <c r="B17" s="294" t="s">
        <v>710</v>
      </c>
      <c r="C17" s="21">
        <f ca="1">ROUND(F17*(F43+INDIRECT("'数据-取费表'!S"&amp;$G$1))/10000,0)</f>
        <v>13</v>
      </c>
      <c r="D17" s="294" t="s">
        <v>711</v>
      </c>
      <c r="E17" s="294" t="s">
        <v>712</v>
      </c>
      <c r="F17" s="23">
        <f>'数据-取费表'!B35</f>
        <v>200</v>
      </c>
      <c r="G17" s="1302"/>
      <c r="H17" s="928" t="s">
        <v>398</v>
      </c>
      <c r="I17" s="294" t="s">
        <v>713</v>
      </c>
      <c r="J17" s="2136">
        <f ca="1">ROUND(IF(AND(项目基本情况!B11="自然人",项目基本情况!B10="北京市"),J6*M17/(1+'数据-取费表'!C42),J18+J19+J20),2)</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4</v>
      </c>
      <c r="D18" s="294" t="s">
        <v>705</v>
      </c>
      <c r="E18" s="294" t="s">
        <v>706</v>
      </c>
      <c r="F18" s="314">
        <f>'数据-取费表'!B36</f>
        <v>1.4999999999999999E-2</v>
      </c>
      <c r="G18" s="1302"/>
      <c r="H18" s="928" t="s">
        <v>397</v>
      </c>
      <c r="I18" s="294" t="s">
        <v>717</v>
      </c>
      <c r="J18" s="21">
        <f ca="1">ROUND(J6*M18/(1+'数据-取费表'!C42),2)</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262</v>
      </c>
      <c r="D19" s="123" t="s">
        <v>720</v>
      </c>
      <c r="E19" s="1268"/>
      <c r="F19" s="23"/>
      <c r="G19" s="1291"/>
      <c r="H19" s="928" t="s">
        <v>399</v>
      </c>
      <c r="I19" s="294" t="s">
        <v>721</v>
      </c>
      <c r="J19" s="21">
        <f ca="1">IF(K19="按租金收入计税",ROUND(J6*M19/(1+'数据-取费表'!C42),2),ROUND(C29*M19*0.7,2))</f>
        <v>0</v>
      </c>
      <c r="K19" s="1277" t="s">
        <v>3334</v>
      </c>
      <c r="L19" s="294" t="s">
        <v>706</v>
      </c>
      <c r="M19" s="314">
        <f>IF(K19="按租金收入计税",'数据-取费表'!B51,'数据-取费表'!B50)</f>
        <v>0.12</v>
      </c>
    </row>
    <row r="20" spans="1:37" s="1303" customFormat="1" ht="18" customHeight="1">
      <c r="A20" s="928" t="s">
        <v>402</v>
      </c>
      <c r="B20" s="294" t="s">
        <v>722</v>
      </c>
      <c r="C20" s="21">
        <f ca="1">ROUND(C19*F20,0)</f>
        <v>8</v>
      </c>
      <c r="D20" s="315" t="s">
        <v>723</v>
      </c>
      <c r="E20" s="294" t="s">
        <v>706</v>
      </c>
      <c r="F20" s="314">
        <f>'数据-取费表'!B37</f>
        <v>0.03</v>
      </c>
      <c r="G20" s="1302"/>
      <c r="H20" s="928" t="s">
        <v>674</v>
      </c>
      <c r="I20" s="147" t="s">
        <v>724</v>
      </c>
      <c r="J20" s="22">
        <f ca="1">ROUND(M20*M21/10000,2)</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ROUND(J14*M22,2)</f>
        <v>2.93</v>
      </c>
      <c r="K22" s="1255" t="s">
        <v>733</v>
      </c>
      <c r="L22" s="294" t="s">
        <v>706</v>
      </c>
      <c r="M22" s="320">
        <f ca="1">INDIRECT("'数据-取费表'!Ak"&amp;$G$1)</f>
        <v>8.0000000000000002E-3</v>
      </c>
    </row>
    <row r="23" spans="1:37" s="1303" customFormat="1" ht="18" customHeight="1">
      <c r="A23" s="928" t="s">
        <v>397</v>
      </c>
      <c r="B23" s="294" t="s">
        <v>734</v>
      </c>
      <c r="C23" s="21">
        <f ca="1">IF('数据-取费表'!B22&lt;=1,ROUND(C19*F24*F23/2,0)+ROUND(C20*F24*F23/2,0),ROUND(C19*(POWER((1+F24),F23/2)-1),0)+ROUND(C20*(POWER((1+F24),F23/2)-1),0))</f>
        <v>9</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ROUND(J13*M23,2)</f>
        <v>0</v>
      </c>
      <c r="K23" s="1255" t="s">
        <v>737</v>
      </c>
      <c r="L23" s="294" t="s">
        <v>706</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677</v>
      </c>
      <c r="I24" s="1027" t="s">
        <v>722</v>
      </c>
      <c r="J24" s="1028">
        <f ca="1">ROUND(J5*M24,2)</f>
        <v>0</v>
      </c>
      <c r="K24" s="1029" t="s">
        <v>742</v>
      </c>
      <c r="L24" s="1027" t="s">
        <v>706</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f ca="1">J5-J16</f>
        <v>-3</v>
      </c>
      <c r="K25" s="1032" t="s">
        <v>747</v>
      </c>
      <c r="L25" s="1033"/>
      <c r="M25" s="1034"/>
    </row>
    <row r="26" spans="1:37">
      <c r="A26" s="928" t="s">
        <v>397</v>
      </c>
      <c r="B26" s="294" t="s">
        <v>748</v>
      </c>
      <c r="C26" s="21">
        <f ca="1">ROUND((C19+C20)*F26,0)</f>
        <v>54</v>
      </c>
      <c r="D26" s="315" t="s">
        <v>749</v>
      </c>
      <c r="E26" s="305" t="s">
        <v>750</v>
      </c>
      <c r="F26" s="304">
        <f ca="1">INDIRECT("'数据-取费表'!q"&amp;$G$1)</f>
        <v>0.2</v>
      </c>
      <c r="G26" s="1291"/>
      <c r="H26" s="291" t="s">
        <v>395</v>
      </c>
      <c r="I26" s="292" t="s">
        <v>751</v>
      </c>
      <c r="J26" s="293">
        <f ca="1">IF(J5&lt;&gt;0,ROUND(J25*(1-((1+M28)/(1+M26))^M27)/(M26-M28),0),0)</f>
        <v>0</v>
      </c>
      <c r="K26" s="316" t="s">
        <v>752</v>
      </c>
      <c r="L26" s="294" t="s">
        <v>753</v>
      </c>
      <c r="M26" s="304">
        <f ca="1">INDIRECT("'数据-取费表'!I"&amp;$G$1)</f>
        <v>5.5E-2</v>
      </c>
    </row>
    <row r="27" spans="1:37" ht="18" customHeight="1">
      <c r="A27" s="928" t="s">
        <v>399</v>
      </c>
      <c r="B27" s="294" t="s">
        <v>754</v>
      </c>
      <c r="C27" s="21">
        <f ca="1">ROUND(F21*F26,4)</f>
        <v>6.0000000000000001E-3</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366</v>
      </c>
      <c r="D29" s="1029"/>
      <c r="E29" s="1027"/>
      <c r="F29" s="1030"/>
      <c r="G29" s="1302"/>
      <c r="H29" s="325" t="s">
        <v>396</v>
      </c>
      <c r="I29" s="326" t="s">
        <v>762</v>
      </c>
      <c r="J29" s="327">
        <f ca="1">ROUND(J26/(1+F40)^F41,0)</f>
        <v>0</v>
      </c>
      <c r="K29" s="328" t="s">
        <v>763</v>
      </c>
      <c r="L29" s="329"/>
      <c r="M29" s="330">
        <f ca="1">INDIRECT("'数据-取费表'!k"&amp;$G$1)</f>
        <v>625.88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9</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ROUND(IF(AND(项目基本情况!B11="自然人",项目基本情况!B10="北京市"),C6*F31/(1+'数据-取费表'!C42),C32+C33+C34),2)</f>
        <v>5.19</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IF(项目基本情况!B11="自然人","——",ROUND(C6*F32/(1+'数据-取费表'!C42),2))</f>
        <v>1.65</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IF(项目基本情况!B11="自然人","——",IF(D33="按租金收入计税",ROUND(C6*F33/(1+'数据-取费表'!C42),2),IF(D33="按房产原值计税",ROUND(C29*F33*0.7,2),INDIRECT("'数据-取费表'!Aj"&amp;$G$1))))</f>
        <v>3.54</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IF(项目基本情况!B11="自然人","——",ROUND(F34*F35/10000,2))</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ROUND(C29*F36,2)</f>
        <v>2.93</v>
      </c>
      <c r="D36" s="1255" t="s">
        <v>765</v>
      </c>
      <c r="E36" s="294" t="s">
        <v>706</v>
      </c>
      <c r="F36" s="320">
        <f ca="1">INDIRECT("'数据-取费表'!Ak"&amp;$G$1)</f>
        <v>8.0000000000000002E-3</v>
      </c>
      <c r="G36" s="1291"/>
      <c r="H36" s="2468"/>
      <c r="I36" s="1304"/>
      <c r="J36" s="1305"/>
      <c r="K36" s="2326"/>
      <c r="L36" s="2468"/>
      <c r="M36" s="2468"/>
    </row>
    <row r="37" spans="1:18" ht="18" customHeight="1">
      <c r="A37" s="928" t="s">
        <v>437</v>
      </c>
      <c r="B37" s="294" t="s">
        <v>736</v>
      </c>
      <c r="C37" s="21">
        <f ca="1">ROUND(C13*F37,2)</f>
        <v>0.37</v>
      </c>
      <c r="D37" s="1255" t="s">
        <v>737</v>
      </c>
      <c r="E37" s="294" t="s">
        <v>706</v>
      </c>
      <c r="F37" s="321">
        <f ca="1">INDIRECT("'数据-取费表'!Al"&amp;$G$1)</f>
        <v>1E-3</v>
      </c>
      <c r="G37" s="1291"/>
      <c r="H37" s="2468"/>
      <c r="I37" s="1304"/>
      <c r="J37" s="1305"/>
      <c r="K37" s="2326"/>
      <c r="L37" s="2468"/>
      <c r="M37" s="2468"/>
    </row>
    <row r="38" spans="1:18" ht="18" customHeight="1" thickBot="1">
      <c r="A38" s="1026" t="s">
        <v>677</v>
      </c>
      <c r="B38" s="1027" t="s">
        <v>722</v>
      </c>
      <c r="C38" s="1028">
        <f ca="1">ROUND(C5*F38,2)</f>
        <v>0.31</v>
      </c>
      <c r="D38" s="1029" t="s">
        <v>742</v>
      </c>
      <c r="E38" s="1027" t="s">
        <v>706</v>
      </c>
      <c r="F38" s="1023">
        <f ca="1">INDIRECT("'数据-取费表'!Am"&amp;$G$1)</f>
        <v>0.01</v>
      </c>
      <c r="G38" s="1291"/>
      <c r="H38" s="2468"/>
      <c r="I38" s="1304"/>
      <c r="J38" s="1305"/>
      <c r="K38" s="2466"/>
      <c r="L38" s="2468"/>
      <c r="M38" s="2468"/>
    </row>
    <row r="39" spans="1:18" ht="24.6" customHeight="1" thickTop="1">
      <c r="A39" s="1016" t="s">
        <v>394</v>
      </c>
      <c r="B39" s="1031" t="s">
        <v>746</v>
      </c>
      <c r="C39" s="302">
        <f ca="1">C5-C30</f>
        <v>22</v>
      </c>
      <c r="D39" s="1032" t="s">
        <v>747</v>
      </c>
      <c r="E39" s="1033"/>
      <c r="F39" s="1034"/>
      <c r="G39" s="1291"/>
      <c r="H39" s="2468"/>
      <c r="I39" s="1304"/>
      <c r="J39" s="1305"/>
      <c r="K39" s="2466"/>
      <c r="L39" s="2468"/>
      <c r="M39" s="2468"/>
    </row>
    <row r="40" spans="1:18" ht="18" customHeight="1">
      <c r="A40" s="291" t="s">
        <v>395</v>
      </c>
      <c r="B40" s="292" t="s">
        <v>768</v>
      </c>
      <c r="C40" s="293">
        <f ca="1">ROUND(C39*(1-((1+F42)/(1+F40))^F41)/(F40-F42),0)</f>
        <v>439</v>
      </c>
      <c r="D40" s="316" t="s">
        <v>752</v>
      </c>
      <c r="E40" s="294" t="s">
        <v>753</v>
      </c>
      <c r="F40" s="304">
        <f ca="1">INDIRECT("'数据-取费表'!I"&amp;$G$1)</f>
        <v>5.5E-2</v>
      </c>
      <c r="G40" s="1291"/>
      <c r="H40" s="1365"/>
      <c r="I40" s="1304"/>
      <c r="J40" s="1305"/>
      <c r="K40" s="2466"/>
      <c r="L40" s="1365"/>
      <c r="M40" s="1365"/>
    </row>
    <row r="41" spans="1:18" ht="18" customHeight="1">
      <c r="A41" s="296"/>
      <c r="B41" s="297"/>
      <c r="C41" s="298"/>
      <c r="D41" s="323" t="s">
        <v>769</v>
      </c>
      <c r="E41" s="294" t="s">
        <v>757</v>
      </c>
      <c r="F41" s="324">
        <f ca="1">IF(INDIRECT("'数据-取费表'!af"&amp;$G$1)=0,INDIRECT("'数据-取费表'!ae"&amp;$G$1),INDIRECT("'数据-取费表'!af"&amp;$G$1))</f>
        <v>35.58</v>
      </c>
      <c r="G41" s="1291"/>
      <c r="H41" s="121"/>
      <c r="I41" s="1304"/>
      <c r="J41" s="1305"/>
      <c r="K41" s="2326"/>
      <c r="L41" s="121"/>
      <c r="M41" s="121"/>
    </row>
    <row r="42" spans="1:18" ht="18" customHeight="1">
      <c r="A42" s="300"/>
      <c r="B42" s="301"/>
      <c r="C42" s="302"/>
      <c r="D42" s="319"/>
      <c r="E42" s="294" t="s">
        <v>760</v>
      </c>
      <c r="F42" s="304">
        <f ca="1">INDIRECT("'数据-取费表'!v"&amp;$G$1)</f>
        <v>0.02</v>
      </c>
      <c r="G42" s="1291"/>
      <c r="H42" s="121"/>
      <c r="I42" s="1304"/>
      <c r="J42" s="1305"/>
      <c r="K42" s="2326"/>
      <c r="L42" s="121"/>
      <c r="M42" s="121"/>
    </row>
    <row r="43" spans="1:18" ht="18" customHeight="1" thickBot="1">
      <c r="A43" s="325" t="s">
        <v>396</v>
      </c>
      <c r="B43" s="326" t="s">
        <v>770</v>
      </c>
      <c r="C43" s="327">
        <f ca="1">ROUND(C40*10000/F43,0)</f>
        <v>7014</v>
      </c>
      <c r="D43" s="328" t="s">
        <v>771</v>
      </c>
      <c r="E43" s="329" t="s">
        <v>772</v>
      </c>
      <c r="F43" s="330">
        <f ca="1">INDIRECT("'数据-取费表'!k"&amp;$G$1)</f>
        <v>625.88</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f ca="1">C68-C40</f>
        <v>-485</v>
      </c>
      <c r="D46" s="1312" t="str">
        <f>C2</f>
        <v>万元</v>
      </c>
      <c r="E46" s="1306"/>
      <c r="F46" s="1306"/>
      <c r="I46" s="1313" t="s">
        <v>804</v>
      </c>
      <c r="J46" s="1314"/>
      <c r="K46" s="1315"/>
      <c r="L46" s="1316">
        <f ca="1">IF(M47="住宅",0,IF(L48&gt;J51,L60,J60))</f>
        <v>11</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f ca="1">INDIRECT("'数据-取费表'!d"&amp;$G$1)</f>
        <v>40</v>
      </c>
      <c r="M47" s="1287" t="str">
        <f>IF(ISNUMBER(FIND("住宅",C1)),"住宅","非住宅")</f>
        <v>非住宅</v>
      </c>
      <c r="O47" s="1324" t="s">
        <v>403</v>
      </c>
      <c r="P47" s="1325" t="s">
        <v>811</v>
      </c>
      <c r="Q47" s="1326">
        <f ca="1">C40+J29</f>
        <v>439</v>
      </c>
      <c r="R47" s="1326" t="s">
        <v>812</v>
      </c>
    </row>
    <row r="48" spans="1:18" s="1291" customFormat="1" ht="28.5" thickBot="1">
      <c r="A48" s="1047" t="s">
        <v>438</v>
      </c>
      <c r="B48" s="292" t="s">
        <v>686</v>
      </c>
      <c r="C48" s="1267">
        <f ca="1">C49+C53+C55</f>
        <v>0</v>
      </c>
      <c r="D48" s="1049"/>
      <c r="E48" s="1050"/>
      <c r="F48" s="908"/>
      <c r="G48" s="681"/>
      <c r="H48" s="682"/>
      <c r="I48" s="1327" t="s">
        <v>813</v>
      </c>
      <c r="J48" s="1328" t="s">
        <v>3422</v>
      </c>
      <c r="K48" s="1329" t="s">
        <v>814</v>
      </c>
      <c r="L48" s="1330">
        <f ca="1">INDIRECT("'数据-取费表'!f"&amp;$G$1)</f>
        <v>35.58</v>
      </c>
      <c r="O48" s="1324" t="s">
        <v>404</v>
      </c>
      <c r="P48" s="1325" t="s">
        <v>815</v>
      </c>
      <c r="Q48" s="1326">
        <f ca="1">J60</f>
        <v>11</v>
      </c>
      <c r="R48" s="1326" t="s">
        <v>816</v>
      </c>
    </row>
    <row r="49" spans="1:18" s="1291" customFormat="1" ht="13.5" thickBot="1">
      <c r="A49" s="921" t="s">
        <v>439</v>
      </c>
      <c r="B49" s="1278" t="s">
        <v>773</v>
      </c>
      <c r="C49" s="1051">
        <f ca="1">ROUND(F49*F51*F50*(1-F52)/10000,0)</f>
        <v>0</v>
      </c>
      <c r="D49" s="992" t="s">
        <v>2102</v>
      </c>
      <c r="E49" s="1279" t="s">
        <v>774</v>
      </c>
      <c r="F49" s="997"/>
      <c r="H49" s="682"/>
      <c r="I49" s="1327" t="s">
        <v>817</v>
      </c>
      <c r="J49" s="1331">
        <f>'数据-取费表'!N18</f>
        <v>2023</v>
      </c>
      <c r="K49" s="1329" t="s">
        <v>818</v>
      </c>
      <c r="L49" s="1332"/>
      <c r="O49" s="1333" t="s">
        <v>405</v>
      </c>
      <c r="P49" s="1325" t="s">
        <v>819</v>
      </c>
      <c r="Q49" s="1326">
        <f ca="1">C29</f>
        <v>366</v>
      </c>
      <c r="R49" s="1326" t="s">
        <v>812</v>
      </c>
    </row>
    <row r="50" spans="1:18" s="1291" customFormat="1" ht="13.5" thickBot="1">
      <c r="A50" s="922"/>
      <c r="B50" s="925"/>
      <c r="C50" s="1055"/>
      <c r="D50" s="899"/>
      <c r="E50" s="993" t="s">
        <v>691</v>
      </c>
      <c r="F50" s="994">
        <f ca="1">F7</f>
        <v>625.88</v>
      </c>
      <c r="H50" s="682"/>
      <c r="I50" s="1327" t="s">
        <v>820</v>
      </c>
      <c r="J50" s="1334">
        <f>SUMPRODUCT((I63:I65=J47)*(J62:L62=J48)*(J63:L65))</f>
        <v>60</v>
      </c>
      <c r="K50" s="1329" t="s">
        <v>821</v>
      </c>
      <c r="L50" s="1332"/>
      <c r="M50" s="1335"/>
      <c r="O50" s="1333" t="s">
        <v>406</v>
      </c>
      <c r="P50" s="1325" t="s">
        <v>822</v>
      </c>
      <c r="Q50" s="1336">
        <f ca="1">J58</f>
        <v>0.40699999999999997</v>
      </c>
      <c r="R50" s="1326"/>
    </row>
    <row r="51" spans="1:18" s="1291" customFormat="1" ht="13.5" thickBot="1">
      <c r="A51" s="923"/>
      <c r="B51" s="925"/>
      <c r="C51" s="926"/>
      <c r="D51" s="899"/>
      <c r="E51" s="927" t="s">
        <v>692</v>
      </c>
      <c r="F51" s="295">
        <f ca="1">F8</f>
        <v>365</v>
      </c>
      <c r="I51" s="1337" t="s">
        <v>823</v>
      </c>
      <c r="J51" s="1330">
        <f>IF(J49="",J50,J49+J50-YEAR('数据-取费表'!B2))</f>
        <v>60</v>
      </c>
      <c r="K51" s="1338" t="s">
        <v>824</v>
      </c>
      <c r="L51" s="1339">
        <f ca="1">ROUND(-PV(INDIRECT("'数据-取费表'!h"&amp;$G$1),J51,(C39-C13*C76),0),0)</f>
        <v>-69</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f ca="1">J53</f>
        <v>35.58</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f ca="1">IF(M47="住宅",IF(D1="——",MAX(J51,L48),MAX(J51,L48-'数据-取费表'!B24)),IF(D1="——",MIN(J51,L48),MIN(J51,L48-'数据-取费表'!B24)))</f>
        <v>35.58</v>
      </c>
      <c r="K53" s="3513" t="s">
        <v>831</v>
      </c>
      <c r="L53" s="3514"/>
      <c r="O53" s="1324" t="s">
        <v>409</v>
      </c>
      <c r="P53" s="1325" t="s">
        <v>832</v>
      </c>
      <c r="Q53" s="1326">
        <f ca="1">Q47+Q48</f>
        <v>450</v>
      </c>
      <c r="R53" s="1326" t="s">
        <v>410</v>
      </c>
    </row>
    <row r="54" spans="1:18" s="1291" customFormat="1" ht="13.5" thickBot="1">
      <c r="A54" s="1080"/>
      <c r="B54" s="1274" t="s">
        <v>673</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f ca="1">ROUND(IF(J47="钢混",J57/J50,1-(1-2%)*(J50-J57)/J50),3)</f>
        <v>0.40699999999999997</v>
      </c>
      <c r="K55" s="1349" t="s">
        <v>835</v>
      </c>
      <c r="L55" s="1350"/>
      <c r="O55" s="1317" t="s">
        <v>805</v>
      </c>
      <c r="P55" s="1318" t="s">
        <v>806</v>
      </c>
      <c r="Q55" s="1319" t="s">
        <v>807</v>
      </c>
      <c r="R55" s="1319" t="s">
        <v>808</v>
      </c>
    </row>
    <row r="56" spans="1:18" s="1291" customFormat="1" ht="25.5" thickTop="1" thickBot="1">
      <c r="A56" s="903">
        <v>2</v>
      </c>
      <c r="B56" s="904" t="s">
        <v>698</v>
      </c>
      <c r="C56" s="224">
        <f ca="1">C13</f>
        <v>366</v>
      </c>
      <c r="D56" s="1351"/>
      <c r="E56" s="1352"/>
      <c r="F56" s="1344"/>
      <c r="I56" s="1353" t="s">
        <v>836</v>
      </c>
      <c r="J56" s="1354" t="s">
        <v>3383</v>
      </c>
      <c r="K56" s="1327" t="s">
        <v>837</v>
      </c>
      <c r="L56" s="1330" t="str">
        <f ca="1">IF(L48&lt;J51,"——",L48-J53)</f>
        <v>——</v>
      </c>
      <c r="O56" s="1324" t="s">
        <v>403</v>
      </c>
      <c r="P56" s="1325" t="s">
        <v>811</v>
      </c>
      <c r="Q56" s="1326">
        <f ca="1">C40+J29</f>
        <v>439</v>
      </c>
      <c r="R56" s="1326" t="s">
        <v>812</v>
      </c>
    </row>
    <row r="57" spans="1:18" s="1291" customFormat="1" ht="24.75" thickBot="1">
      <c r="A57" s="1355"/>
      <c r="B57" s="896" t="s">
        <v>761</v>
      </c>
      <c r="C57" s="230">
        <f ca="1">C29</f>
        <v>366</v>
      </c>
      <c r="D57" s="1356"/>
      <c r="E57" s="1357"/>
      <c r="F57" s="1358"/>
      <c r="I57" s="1359" t="s">
        <v>838</v>
      </c>
      <c r="J57" s="1360">
        <f ca="1">IF(OR(M47="住宅",J51&lt;L48,J56="是"),"——",J51-L48)</f>
        <v>24.42</v>
      </c>
      <c r="K57" s="1327" t="s">
        <v>839</v>
      </c>
      <c r="L57" s="1330" t="str">
        <f ca="1">IF(L48&lt;J51,"——",IF(L55="比较法",L49,IF(L55="基准地价",L50,L51)))</f>
        <v>——</v>
      </c>
      <c r="O57" s="1324" t="s">
        <v>404</v>
      </c>
      <c r="P57" s="1325" t="s">
        <v>840</v>
      </c>
      <c r="Q57" s="1326">
        <f ca="1">L60</f>
        <v>0</v>
      </c>
      <c r="R57" s="1326" t="s">
        <v>841</v>
      </c>
    </row>
    <row r="58" spans="1:18" s="1291" customFormat="1" ht="24.75" thickBot="1">
      <c r="A58" s="307" t="s">
        <v>393</v>
      </c>
      <c r="B58" s="904" t="s">
        <v>708</v>
      </c>
      <c r="C58" s="308">
        <f ca="1">ROUND(C59+C64+C65+C66,0)</f>
        <v>3</v>
      </c>
      <c r="D58" s="906" t="s">
        <v>709</v>
      </c>
      <c r="E58" s="907"/>
      <c r="F58" s="908"/>
      <c r="I58" s="1359" t="s">
        <v>842</v>
      </c>
      <c r="J58" s="1361">
        <f ca="1">IF(J55&lt;0.4,0.4,J55)</f>
        <v>0.40699999999999997</v>
      </c>
      <c r="K58" s="1338" t="s">
        <v>843</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f ca="1">IF(OR(M47="住宅",J51&lt;L48,J56="是"),"——",ROUND(C29*J58,0))</f>
        <v>149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IF(项目基本情况!B11="自然人","——",ROUND(C48*F60/(1+'数据-取费表'!C42),2))</f>
        <v>0</v>
      </c>
      <c r="D60" s="910" t="s">
        <v>718</v>
      </c>
      <c r="E60" s="896" t="s">
        <v>706</v>
      </c>
      <c r="F60" s="322">
        <f t="shared" ref="F60:F66" si="0">F32</f>
        <v>5.6000000000000001E-2</v>
      </c>
      <c r="I60" s="1362" t="s">
        <v>847</v>
      </c>
      <c r="J60" s="1363">
        <f ca="1">IF(OR(M47="住宅",J51&lt;L48,J56="是"),"0",ROUND(J59/(1+J52)^J53,0))</f>
        <v>11</v>
      </c>
      <c r="K60" s="1364" t="s">
        <v>848</v>
      </c>
      <c r="L60" s="1363">
        <f ca="1">IF(OR(M47="住宅",L48&lt;J51),0,ROUND(L57*(L58/L59-1),0))</f>
        <v>0</v>
      </c>
      <c r="O60" s="1333" t="s">
        <v>407</v>
      </c>
      <c r="P60" s="1325" t="s">
        <v>849</v>
      </c>
      <c r="Q60" s="1326" t="e">
        <f ca="1">L58</f>
        <v>#DIV/0!</v>
      </c>
      <c r="R60" s="1326" t="s">
        <v>850</v>
      </c>
    </row>
    <row r="61" spans="1:18" s="1291" customFormat="1" ht="13.5" thickBot="1">
      <c r="A61" s="928" t="s">
        <v>775</v>
      </c>
      <c r="B61" s="896" t="s">
        <v>721</v>
      </c>
      <c r="C61" s="21">
        <f ca="1">IF(项目基本情况!B11="自然人","——",IF(D61="按租金收入计税",ROUND(C49*F61/(1+'数据-取费表'!C42),2),IF(D61="按房产原值计税",ROUND(C57*F61*0.7,2),INDIRECT("'数据-取费表'!Aj"&amp;$G$1))))</f>
        <v>0</v>
      </c>
      <c r="D61" s="1277" t="s">
        <v>3334</v>
      </c>
      <c r="E61" s="896" t="s">
        <v>706</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724</v>
      </c>
      <c r="C62" s="22">
        <f ca="1">IF(项目基本情况!B11="自然人","——",ROUND(F62*F63/10000,2))</f>
        <v>0</v>
      </c>
      <c r="D62" s="911" t="s">
        <v>725</v>
      </c>
      <c r="E62" s="896" t="s">
        <v>726</v>
      </c>
      <c r="F62" s="317">
        <f t="shared" si="0"/>
        <v>0</v>
      </c>
      <c r="I62" s="1366" t="s">
        <v>852</v>
      </c>
      <c r="J62" s="610" t="s">
        <v>853</v>
      </c>
      <c r="K62" s="610" t="s">
        <v>854</v>
      </c>
      <c r="L62" s="610" t="s">
        <v>855</v>
      </c>
      <c r="M62" s="1367" t="s">
        <v>856</v>
      </c>
      <c r="O62" s="1324" t="s">
        <v>409</v>
      </c>
      <c r="P62" s="1325" t="s">
        <v>832</v>
      </c>
      <c r="Q62" s="1326">
        <f ca="1">Q56+Q57</f>
        <v>439</v>
      </c>
      <c r="R62" s="1326" t="s">
        <v>410</v>
      </c>
    </row>
    <row r="63" spans="1:18" s="1291" customFormat="1" ht="13.5" thickBot="1">
      <c r="A63" s="318"/>
      <c r="B63" s="902"/>
      <c r="C63" s="26"/>
      <c r="D63" s="912"/>
      <c r="E63" s="896" t="s">
        <v>730</v>
      </c>
      <c r="F63" s="295">
        <f t="shared" ca="1" si="0"/>
        <v>0</v>
      </c>
      <c r="I63" s="1366" t="s">
        <v>858</v>
      </c>
      <c r="J63" s="610">
        <v>70</v>
      </c>
      <c r="K63" s="610">
        <v>50</v>
      </c>
      <c r="L63" s="610">
        <v>80</v>
      </c>
      <c r="M63" s="1368">
        <v>0.02</v>
      </c>
      <c r="O63" s="1309" t="s">
        <v>859</v>
      </c>
      <c r="P63" s="1288"/>
      <c r="Q63" s="1288"/>
      <c r="R63" s="1288"/>
    </row>
    <row r="64" spans="1:18" s="1291" customFormat="1" ht="13.5" thickBot="1">
      <c r="A64" s="928" t="s">
        <v>402</v>
      </c>
      <c r="B64" s="896" t="s">
        <v>732</v>
      </c>
      <c r="C64" s="21">
        <f ca="1">ROUND(C57*F64,2)</f>
        <v>2.93</v>
      </c>
      <c r="D64" s="910" t="s">
        <v>765</v>
      </c>
      <c r="E64" s="896" t="s">
        <v>706</v>
      </c>
      <c r="F64" s="320">
        <f t="shared" ca="1" si="0"/>
        <v>8.0000000000000002E-3</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ROUND(C56*F65,2)</f>
        <v>0.37</v>
      </c>
      <c r="D65" s="910" t="s">
        <v>737</v>
      </c>
      <c r="E65" s="896" t="s">
        <v>706</v>
      </c>
      <c r="F65" s="321">
        <f t="shared" ca="1" si="0"/>
        <v>1E-3</v>
      </c>
      <c r="I65" s="1366" t="s">
        <v>861</v>
      </c>
      <c r="J65" s="610">
        <v>40</v>
      </c>
      <c r="K65" s="610">
        <v>30</v>
      </c>
      <c r="L65" s="610">
        <v>50</v>
      </c>
      <c r="M65" s="1368">
        <v>0.02</v>
      </c>
      <c r="O65" s="1324" t="s">
        <v>403</v>
      </c>
      <c r="P65" s="1325" t="s">
        <v>811</v>
      </c>
      <c r="Q65" s="1326">
        <f ca="1">C40+J29</f>
        <v>439</v>
      </c>
      <c r="R65" s="1326" t="s">
        <v>812</v>
      </c>
    </row>
    <row r="66" spans="1:18" s="1291" customFormat="1" ht="16.5" thickBot="1">
      <c r="A66" s="928" t="s">
        <v>787</v>
      </c>
      <c r="B66" s="896" t="s">
        <v>722</v>
      </c>
      <c r="C66" s="21">
        <f ca="1">ROUND(C48*F66,2)</f>
        <v>0</v>
      </c>
      <c r="D66" s="910" t="s">
        <v>742</v>
      </c>
      <c r="E66" s="896" t="s">
        <v>706</v>
      </c>
      <c r="F66" s="304">
        <f t="shared" ca="1" si="0"/>
        <v>0.01</v>
      </c>
      <c r="O66" s="1324" t="s">
        <v>404</v>
      </c>
      <c r="P66" s="1325" t="s">
        <v>840</v>
      </c>
      <c r="Q66" s="1326">
        <f ca="1">L60</f>
        <v>0</v>
      </c>
      <c r="R66" s="1326" t="s">
        <v>863</v>
      </c>
    </row>
    <row r="67" spans="1:18" s="1291" customFormat="1" ht="16.5" thickBot="1">
      <c r="A67" s="903" t="s">
        <v>394</v>
      </c>
      <c r="B67" s="913" t="s">
        <v>746</v>
      </c>
      <c r="C67" s="308">
        <f ca="1">C48-C58</f>
        <v>-3</v>
      </c>
      <c r="D67" s="909" t="s">
        <v>747</v>
      </c>
      <c r="E67" s="914"/>
      <c r="F67" s="915"/>
      <c r="O67" s="1333" t="s">
        <v>405</v>
      </c>
      <c r="P67" s="1325" t="s">
        <v>844</v>
      </c>
      <c r="Q67" s="1369">
        <f ca="1">L51</f>
        <v>-69</v>
      </c>
      <c r="R67" s="1326" t="s">
        <v>864</v>
      </c>
    </row>
    <row r="68" spans="1:18" s="1291" customFormat="1" ht="16.5" thickBot="1">
      <c r="A68" s="893" t="s">
        <v>395</v>
      </c>
      <c r="B68" s="894" t="s">
        <v>768</v>
      </c>
      <c r="C68" s="293">
        <f ca="1">ROUND(C67*(1-((1+F70)/(1+F68))^F69)/(F68-F70),0)</f>
        <v>-46</v>
      </c>
      <c r="D68" s="911" t="s">
        <v>752</v>
      </c>
      <c r="E68" s="896" t="s">
        <v>753</v>
      </c>
      <c r="F68" s="304">
        <f ca="1">F40</f>
        <v>5.5E-2</v>
      </c>
      <c r="O68" s="1333" t="s">
        <v>406</v>
      </c>
      <c r="P68" s="1370" t="s">
        <v>865</v>
      </c>
      <c r="Q68" s="1326">
        <f ca="1">ROUND(Q69-Q70*Q71,0)</f>
        <v>-4</v>
      </c>
      <c r="R68" s="1326" t="s">
        <v>414</v>
      </c>
    </row>
    <row r="69" spans="1:18" s="1291" customFormat="1" ht="13.5" thickBot="1">
      <c r="A69" s="897"/>
      <c r="B69" s="898"/>
      <c r="C69" s="298"/>
      <c r="D69" s="916" t="s">
        <v>756</v>
      </c>
      <c r="E69" s="896" t="s">
        <v>757</v>
      </c>
      <c r="F69" s="324">
        <f ca="1">F41</f>
        <v>35.58</v>
      </c>
      <c r="O69" s="1333" t="s">
        <v>411</v>
      </c>
      <c r="P69" s="1370" t="s">
        <v>866</v>
      </c>
      <c r="Q69" s="1326">
        <f ca="1">C39</f>
        <v>22</v>
      </c>
      <c r="R69" s="1326" t="s">
        <v>812</v>
      </c>
    </row>
    <row r="70" spans="1:18" s="1291" customFormat="1" ht="13.5" thickBot="1">
      <c r="A70" s="900"/>
      <c r="B70" s="901"/>
      <c r="C70" s="302"/>
      <c r="D70" s="912"/>
      <c r="E70" s="896" t="s">
        <v>760</v>
      </c>
      <c r="F70" s="991"/>
      <c r="O70" s="1333" t="s">
        <v>412</v>
      </c>
      <c r="P70" s="1370" t="s">
        <v>867</v>
      </c>
      <c r="Q70" s="1326">
        <f ca="1">C13</f>
        <v>366</v>
      </c>
      <c r="R70" s="1326" t="s">
        <v>812</v>
      </c>
    </row>
    <row r="71" spans="1:18" s="1291" customFormat="1" ht="13.5" thickBot="1">
      <c r="A71" s="917" t="s">
        <v>396</v>
      </c>
      <c r="B71" s="918" t="s">
        <v>770</v>
      </c>
      <c r="C71" s="327">
        <f ca="1">ROUND(C68*10000/F71,0)</f>
        <v>-735</v>
      </c>
      <c r="D71" s="919" t="s">
        <v>771</v>
      </c>
      <c r="E71" s="920" t="s">
        <v>772</v>
      </c>
      <c r="F71" s="330">
        <f ca="1">F43</f>
        <v>625.88</v>
      </c>
      <c r="O71" s="1333" t="s">
        <v>413</v>
      </c>
      <c r="P71" s="1370" t="s">
        <v>868</v>
      </c>
      <c r="Q71" s="1336">
        <f ca="1">C76</f>
        <v>7.0000000000000007E-2</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26</v>
      </c>
      <c r="D75" s="1291"/>
      <c r="E75" s="1291"/>
      <c r="F75" s="1291"/>
      <c r="K75" s="1308"/>
      <c r="L75" s="1291"/>
      <c r="O75" s="1324" t="s">
        <v>409</v>
      </c>
      <c r="P75" s="1325" t="s">
        <v>832</v>
      </c>
      <c r="Q75" s="1326">
        <f ca="1">Q65+Q66</f>
        <v>439</v>
      </c>
      <c r="R75" s="1326" t="s">
        <v>410</v>
      </c>
    </row>
    <row r="76" spans="1:18">
      <c r="B76" s="333" t="s">
        <v>790</v>
      </c>
      <c r="C76" s="334">
        <f ca="1">INDIRECT("'数据-取费表'!j"&amp;$G$1)</f>
        <v>7.0000000000000007E-2</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-0.18199999999999994</v>
      </c>
    </row>
    <row r="80" spans="1:18">
      <c r="B80" s="331" t="s">
        <v>794</v>
      </c>
      <c r="C80" s="266">
        <f ca="1">ROUND(C75/C39,3)</f>
        <v>1.1819999999999999</v>
      </c>
    </row>
    <row r="81" spans="2:3">
      <c r="B81" s="262" t="s">
        <v>795</v>
      </c>
      <c r="C81" s="230"/>
    </row>
    <row r="82" spans="2:3">
      <c r="B82" s="265" t="s">
        <v>796</v>
      </c>
      <c r="C82" s="267">
        <f ca="1">1-C83</f>
        <v>0.16600000000000004</v>
      </c>
    </row>
    <row r="83" spans="2:3">
      <c r="B83" s="265" t="s">
        <v>797</v>
      </c>
      <c r="C83" s="266">
        <f ca="1">ROUND(C13/C40,3)</f>
        <v>0.83399999999999996</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21" priority="3">
      <formula>$F$10="自定义"</formula>
    </cfRule>
  </conditionalFormatting>
  <conditionalFormatting sqref="C54">
    <cfRule type="expression" dxfId="20" priority="1">
      <formula>$F$53="自定义"</formula>
    </cfRule>
  </conditionalFormatting>
  <conditionalFormatting sqref="I55 I60">
    <cfRule type="expression" dxfId="19" priority="5">
      <formula>$J$51&gt;$L$48</formula>
    </cfRule>
  </conditionalFormatting>
  <conditionalFormatting sqref="J11">
    <cfRule type="expression" dxfId="18" priority="2">
      <formula>$M$10="自定义"</formula>
    </cfRule>
  </conditionalFormatting>
  <conditionalFormatting sqref="K55 K60">
    <cfRule type="expression" dxfId="1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4147</v>
      </c>
      <c r="D1" s="646"/>
      <c r="E1" s="646"/>
      <c r="F1" s="1620" t="s">
        <v>1257</v>
      </c>
      <c r="G1" s="1452" t="s">
        <v>3384</v>
      </c>
      <c r="H1" s="1620" t="str">
        <f>IF(G1="现房","——","估价对象范围")</f>
        <v>——</v>
      </c>
      <c r="I1" s="1621" t="s">
        <v>4151</v>
      </c>
    </row>
    <row r="2" spans="1:12" ht="21.75" customHeight="1" thickBot="1">
      <c r="A2" s="3399" t="str">
        <f>项目基本情况!S2</f>
        <v>河北省张家口市下花园区110国道北侧“京北金茂悦”项目房地产</v>
      </c>
      <c r="B2" s="3400"/>
      <c r="C2" s="3400"/>
      <c r="D2" s="3400"/>
      <c r="E2" s="3400"/>
      <c r="F2" s="3400"/>
      <c r="G2" s="3400"/>
      <c r="H2" s="3400"/>
      <c r="I2" s="3401"/>
    </row>
    <row r="3" spans="1:12" ht="12.75">
      <c r="A3" s="3403" t="s">
        <v>1258</v>
      </c>
      <c r="B3" s="3404"/>
      <c r="C3" s="3404"/>
      <c r="D3" s="3404"/>
      <c r="E3" s="3404"/>
      <c r="F3" s="3404"/>
      <c r="G3" s="3404"/>
      <c r="H3" s="3404"/>
      <c r="I3" s="3404"/>
    </row>
    <row r="4" spans="1:12" ht="14.25">
      <c r="A4" s="1623" t="s">
        <v>1259</v>
      </c>
      <c r="B4" s="1624" t="s">
        <v>1260</v>
      </c>
      <c r="C4" s="1625" t="s">
        <v>4158</v>
      </c>
      <c r="D4" s="1625" t="s">
        <v>4158</v>
      </c>
      <c r="E4" s="3405" t="s">
        <v>1261</v>
      </c>
      <c r="F4" s="3406"/>
      <c r="G4" s="3406"/>
      <c r="H4" s="3406"/>
      <c r="I4" s="3407"/>
      <c r="K4" s="138" t="str">
        <f>IF(ISNUMBER(FIND("比较法",'结果表-地下车库'!C4)),"比较法",IF(ISNUMBER(FIND("成本法",'结果表-地下车库'!C4)),"成本法",IF(ISNUMBER(FIND("假设开发法",'结果表-地下车库'!C4)),"假设开发法",IF(ISNUMBER(FIND("收益法",'结果表-地下车库'!C4)),"收益法","基准地价系数修正法"))))</f>
        <v>收益法</v>
      </c>
      <c r="L4" s="138"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379" t="s">
        <v>1262</v>
      </c>
      <c r="B5" s="3366">
        <v>25</v>
      </c>
      <c r="C5" s="3382"/>
      <c r="D5" s="3402"/>
      <c r="E5" s="123" t="s">
        <v>1263</v>
      </c>
      <c r="F5" s="1626"/>
      <c r="G5" s="1626"/>
      <c r="H5" s="1626"/>
      <c r="I5" s="1280"/>
    </row>
    <row r="6" spans="1:12" ht="12.75">
      <c r="A6" s="3379"/>
      <c r="B6" s="3366"/>
      <c r="C6" s="3383"/>
      <c r="D6" s="3402"/>
      <c r="E6" s="123" t="s">
        <v>1264</v>
      </c>
      <c r="F6" s="1626"/>
      <c r="G6" s="1626"/>
      <c r="H6" s="1626"/>
      <c r="I6" s="1280"/>
    </row>
    <row r="7" spans="1:12" ht="12.75">
      <c r="A7" s="3379"/>
      <c r="B7" s="3366"/>
      <c r="C7" s="3384"/>
      <c r="D7" s="3402"/>
      <c r="E7" s="123" t="s">
        <v>1265</v>
      </c>
      <c r="F7" s="1626"/>
      <c r="G7" s="1626"/>
      <c r="H7" s="1626"/>
      <c r="I7" s="1280"/>
    </row>
    <row r="8" spans="1:12" ht="12.75">
      <c r="A8" s="3379" t="s">
        <v>1266</v>
      </c>
      <c r="B8" s="3366">
        <v>15</v>
      </c>
      <c r="C8" s="3382"/>
      <c r="D8" s="3402"/>
      <c r="E8" s="123" t="s">
        <v>1267</v>
      </c>
      <c r="F8" s="1626"/>
      <c r="G8" s="1626"/>
      <c r="H8" s="1626"/>
      <c r="I8" s="1280"/>
    </row>
    <row r="9" spans="1:12" ht="12.75">
      <c r="A9" s="3379"/>
      <c r="B9" s="3366"/>
      <c r="C9" s="3384"/>
      <c r="D9" s="3402"/>
      <c r="E9" s="123" t="s">
        <v>1268</v>
      </c>
      <c r="F9" s="1626"/>
      <c r="G9" s="1626"/>
      <c r="H9" s="1626"/>
      <c r="I9" s="1280"/>
    </row>
    <row r="10" spans="1:12" ht="12.75">
      <c r="A10" s="3379" t="s">
        <v>1269</v>
      </c>
      <c r="B10" s="3366">
        <v>15</v>
      </c>
      <c r="C10" s="3382"/>
      <c r="D10" s="3402"/>
      <c r="E10" s="123" t="s">
        <v>1270</v>
      </c>
      <c r="F10" s="1626"/>
      <c r="G10" s="1626"/>
      <c r="H10" s="1626"/>
      <c r="I10" s="1280"/>
    </row>
    <row r="11" spans="1:12" ht="12.75">
      <c r="A11" s="3379"/>
      <c r="B11" s="3366"/>
      <c r="C11" s="3384"/>
      <c r="D11" s="3402"/>
      <c r="E11" s="123" t="s">
        <v>1271</v>
      </c>
      <c r="F11" s="1626"/>
      <c r="G11" s="1626"/>
      <c r="H11" s="1626"/>
      <c r="I11" s="1280"/>
    </row>
    <row r="12" spans="1:12" ht="12.75">
      <c r="A12" s="3379" t="s">
        <v>1272</v>
      </c>
      <c r="B12" s="3366">
        <v>15</v>
      </c>
      <c r="C12" s="3382"/>
      <c r="D12" s="3402"/>
      <c r="E12" s="123" t="s">
        <v>1273</v>
      </c>
      <c r="F12" s="1626"/>
      <c r="G12" s="1626"/>
      <c r="H12" s="1626"/>
      <c r="I12" s="1280"/>
    </row>
    <row r="13" spans="1:12" ht="12.75">
      <c r="A13" s="3379"/>
      <c r="B13" s="3366"/>
      <c r="C13" s="3384"/>
      <c r="D13" s="3402"/>
      <c r="E13" s="123" t="s">
        <v>1274</v>
      </c>
      <c r="F13" s="1626"/>
      <c r="G13" s="1626"/>
      <c r="H13" s="1626"/>
      <c r="I13" s="1280"/>
    </row>
    <row r="14" spans="1:12" ht="12.75">
      <c r="A14" s="3379" t="s">
        <v>1275</v>
      </c>
      <c r="B14" s="3366">
        <v>30</v>
      </c>
      <c r="C14" s="3382">
        <v>7</v>
      </c>
      <c r="D14" s="3402">
        <v>3</v>
      </c>
      <c r="E14" s="123" t="s">
        <v>1276</v>
      </c>
      <c r="F14" s="1626"/>
      <c r="G14" s="1626"/>
      <c r="H14" s="1626"/>
      <c r="I14" s="1280"/>
    </row>
    <row r="15" spans="1:12" ht="12.75">
      <c r="A15" s="3379"/>
      <c r="B15" s="3366"/>
      <c r="C15" s="3383"/>
      <c r="D15" s="3402"/>
      <c r="E15" s="123" t="s">
        <v>1277</v>
      </c>
      <c r="F15" s="1626"/>
      <c r="G15" s="1626"/>
      <c r="H15" s="1626"/>
      <c r="I15" s="1280"/>
    </row>
    <row r="16" spans="1:12" ht="12.75">
      <c r="A16" s="3379"/>
      <c r="B16" s="3366"/>
      <c r="C16" s="3384"/>
      <c r="D16" s="3402"/>
      <c r="E16" s="123" t="s">
        <v>1278</v>
      </c>
      <c r="F16" s="1626"/>
      <c r="G16" s="1626"/>
      <c r="H16" s="1626"/>
      <c r="I16" s="1280"/>
    </row>
    <row r="17" spans="1:36" ht="15">
      <c r="A17" s="1627" t="s">
        <v>1279</v>
      </c>
      <c r="B17" s="54"/>
      <c r="C17" s="124">
        <f>SUM(C5:C16)</f>
        <v>7</v>
      </c>
      <c r="D17" s="124">
        <f>SUM(D5:D16)</f>
        <v>3</v>
      </c>
      <c r="E17" s="121"/>
      <c r="F17" s="121"/>
      <c r="G17" s="121"/>
      <c r="H17" s="121"/>
      <c r="I17" s="121"/>
      <c r="K17" s="294"/>
      <c r="L17" s="294" t="s">
        <v>1280</v>
      </c>
      <c r="M17" s="294" t="s">
        <v>1281</v>
      </c>
    </row>
    <row r="18" spans="1:36" ht="31.9" customHeight="1" thickBot="1">
      <c r="A18" s="1628" t="s">
        <v>1282</v>
      </c>
      <c r="B18" s="1541"/>
      <c r="C18" s="125">
        <f>ROUND(C17/SUM(C17:D17),2)</f>
        <v>0.7</v>
      </c>
      <c r="D18" s="125">
        <f>1-C18</f>
        <v>0.30000000000000004</v>
      </c>
      <c r="E18" s="3389" t="s">
        <v>2125</v>
      </c>
      <c r="F18" s="3390"/>
      <c r="G18" s="3390"/>
      <c r="H18" s="3390"/>
      <c r="I18" s="3390"/>
      <c r="K18" s="294" t="s">
        <v>1283</v>
      </c>
      <c r="L18" s="294">
        <f>IF(C1="",'数据-汇总表'!E3,SUMIF(项目类型,C1,'数据-汇总表'!E17:E26)+SUMIF(项目类型,C1,'数据-汇总表'!I17:I26))</f>
        <v>0</v>
      </c>
      <c r="M18" s="294">
        <f>IF(C1="",'数据-汇总表'!E3,SUMIF(项目类型,C1,'数据-汇总表'!E17:E26))</f>
        <v>0</v>
      </c>
    </row>
    <row r="19" spans="1:36" ht="15">
      <c r="A19" s="1629" t="s">
        <v>1284</v>
      </c>
      <c r="B19" s="1630" t="s">
        <v>1285</v>
      </c>
      <c r="C19" s="126" t="e">
        <f ca="1">SUMIF(INDIRECT("'"&amp;C4&amp;"'"&amp;"!A:A"),'结果表-地下车库'!B19,INDIRECT("'"&amp;C4&amp;"'"&amp;"!B:B"))</f>
        <v>#N/A</v>
      </c>
      <c r="D19" s="127" t="e">
        <f ca="1">SUMIF(INDIRECT("'"&amp;D4&amp;"'"&amp;"!A:A"),'结果表-地下车库'!B19,INDIRECT("'"&amp;D4&amp;"'"&amp;"!B:B"))</f>
        <v>#N/A</v>
      </c>
      <c r="E19" s="1629" t="s">
        <v>1286</v>
      </c>
      <c r="F19" s="1630" t="s">
        <v>1285</v>
      </c>
      <c r="G19" s="128" t="e">
        <f ca="1">ROUND(C19*$C$18+D19*$D$18,0)</f>
        <v>#N/A</v>
      </c>
      <c r="H19" s="1631" t="s">
        <v>1287</v>
      </c>
      <c r="I19" s="121"/>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SUMIF(INDIRECT("'"&amp;C4&amp;"'"&amp;"!A:A"),'结果表-地下车库'!B20,INDIRECT("'"&amp;C4&amp;"'"&amp;"!B:B"))</f>
        <v>0</v>
      </c>
      <c r="D20" s="130">
        <f ca="1">SUMIF(INDIRECT("'"&amp;D4&amp;"'"&amp;"!A:A"),'结果表-地下车库'!B20,INDIRECT("'"&amp;D4&amp;"'"&amp;"!B:B"))</f>
        <v>0</v>
      </c>
      <c r="E20" s="1632"/>
      <c r="F20" s="43" t="s">
        <v>1289</v>
      </c>
      <c r="G20" s="131">
        <f ca="1">ROUND(C20*$C$18+D20*$D$18,0)</f>
        <v>0</v>
      </c>
      <c r="H20" s="760" t="s">
        <v>1290</v>
      </c>
      <c r="I20" s="121"/>
    </row>
    <row r="21" spans="1:36" ht="15" customHeight="1" thickBot="1">
      <c r="A21" s="449"/>
      <c r="B21" s="93" t="s">
        <v>1291</v>
      </c>
      <c r="C21" s="678" t="e">
        <f ca="1">ROUND(C19*10000/L19,0)</f>
        <v>#N/A</v>
      </c>
      <c r="D21" s="679" t="e">
        <f ca="1">ROUND(D19*10000/L19,0)</f>
        <v>#N/A</v>
      </c>
      <c r="E21" s="449"/>
      <c r="F21" s="93" t="s">
        <v>1291</v>
      </c>
      <c r="G21" s="132" t="e">
        <f ca="1">ROUND(G19*10000/L19,0)</f>
        <v>#N/A</v>
      </c>
      <c r="H21" s="1633" t="s">
        <v>1290</v>
      </c>
      <c r="I21" s="121"/>
    </row>
    <row r="22" spans="1:36" ht="15" thickBot="1">
      <c r="A22" s="1563" t="s">
        <v>1292</v>
      </c>
      <c r="B22" s="1634"/>
      <c r="C22" s="1635"/>
      <c r="D22" s="680" t="e">
        <f ca="1">IF(C19&lt;D19,D19/C19-1,C19/D19-1)</f>
        <v>#N/A</v>
      </c>
      <c r="E22" s="121"/>
      <c r="F22" s="121"/>
      <c r="G22" s="121"/>
      <c r="H22" s="121"/>
      <c r="I22" s="121"/>
    </row>
    <row r="23" spans="1:36" ht="13.5" thickBot="1">
      <c r="A23" s="646"/>
      <c r="B23" s="646"/>
      <c r="C23" s="646"/>
      <c r="D23" s="646"/>
      <c r="E23" s="121"/>
      <c r="F23" s="121"/>
      <c r="G23" s="121"/>
      <c r="H23" s="121"/>
      <c r="I23" s="121"/>
    </row>
    <row r="24" spans="1:36" ht="14.25">
      <c r="A24" s="3373" t="s">
        <v>1293</v>
      </c>
      <c r="B24" s="1630" t="s">
        <v>1285</v>
      </c>
      <c r="C24" s="128">
        <f>IF(B30=0,0,D30)</f>
        <v>0</v>
      </c>
      <c r="D24" s="1636"/>
      <c r="E24" s="121"/>
      <c r="F24" s="121"/>
      <c r="G24" s="121"/>
      <c r="H24" s="121"/>
      <c r="I24" s="121"/>
    </row>
    <row r="25" spans="1:36" ht="14.25">
      <c r="A25" s="3374"/>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t="e">
        <f ca="1">IF(D32="总价",G19-C24,G20-C25)</f>
        <v>#N/A</v>
      </c>
      <c r="D32" s="1640" t="s">
        <v>4087</v>
      </c>
      <c r="E32" s="121"/>
      <c r="F32" s="121"/>
      <c r="G32" s="121"/>
      <c r="H32" s="121"/>
      <c r="I32" s="121"/>
    </row>
    <row r="33" spans="1:15" ht="15">
      <c r="A33" s="740" t="s">
        <v>1300</v>
      </c>
      <c r="B33" s="123"/>
      <c r="C33" s="1641"/>
      <c r="D33" s="1642"/>
      <c r="E33" s="1643" t="s">
        <v>1301</v>
      </c>
      <c r="F33" s="1644" t="str">
        <f>IF(D32="楼面单价","取值（单价）","取值（总价）")</f>
        <v>取值（总价）</v>
      </c>
      <c r="G33" s="121"/>
      <c r="H33" s="121"/>
      <c r="I33" s="121"/>
    </row>
    <row r="34" spans="1:15" ht="15">
      <c r="A34" s="1645"/>
      <c r="B34" s="1646" t="s">
        <v>1302</v>
      </c>
      <c r="C34" s="140" t="e">
        <f ca="1">IF(C33="自定义",F34,C32-C35)</f>
        <v>#N/A</v>
      </c>
      <c r="D34" s="808" t="e">
        <f ca="1">IF(C33="自定义",ROUND(C34/C32,3),IF(C33="收益比率",SUMIF(INDIRECT("'"&amp;D33&amp;"'"&amp;"!b:b"),"土地收益比率",INDIRECT("'"&amp;D33&amp;"'"&amp;"!c:c")),SUMIF(INDIRECT("'"&amp;D33&amp;"'"&amp;"!b:b"),"土地成本比率",INDIRECT("'"&amp;D33&amp;"'"&amp;"!c:c"))))</f>
        <v>#REF!</v>
      </c>
      <c r="E34" s="1647" t="s">
        <v>1303</v>
      </c>
      <c r="F34" s="1242"/>
      <c r="G34" s="121"/>
      <c r="H34" s="121"/>
      <c r="I34" s="121"/>
    </row>
    <row r="35" spans="1:15" ht="15.75" thickBot="1">
      <c r="A35" s="1648"/>
      <c r="B35" s="1649" t="s">
        <v>1304</v>
      </c>
      <c r="C35" s="1090" t="e">
        <f ca="1">IF(C33="自定义",F35,ROUND(C32*D35,0))</f>
        <v>#N/A</v>
      </c>
      <c r="D35" s="1091" t="e">
        <f ca="1">IF(C33="自定义",ROUND(C35/C32,3),IF(C33="收益比率",SUMIF(INDIRECT("'"&amp;D33&amp;"'"&amp;"!b:b"),"建筑物收益比率",INDIRECT("'"&amp;D33&amp;"'"&amp;"!c:c")),SUMIF(INDIRECT("'"&amp;D33&amp;"'"&amp;"!b:b"),"建筑物成本比率",INDIRECT("'"&amp;D33&amp;"'"&amp;"!c:c"))))</f>
        <v>#REF!</v>
      </c>
      <c r="E35" s="1650" t="s">
        <v>1305</v>
      </c>
      <c r="F35" s="146"/>
      <c r="G35" s="121"/>
      <c r="H35" s="121"/>
      <c r="I35" s="121"/>
    </row>
    <row r="36" spans="1:15" ht="15.75" thickBot="1">
      <c r="A36" s="3393" t="s">
        <v>1306</v>
      </c>
      <c r="B36" s="1651" t="s">
        <v>1307</v>
      </c>
      <c r="C36" s="137"/>
      <c r="D36" s="1652"/>
      <c r="E36" s="1566"/>
      <c r="F36" s="1653"/>
      <c r="G36" s="121"/>
      <c r="H36" s="121"/>
      <c r="I36" s="121"/>
    </row>
    <row r="37" spans="1:15" ht="15.75" thickBot="1">
      <c r="A37" s="3394"/>
      <c r="B37" s="1554" t="s">
        <v>1308</v>
      </c>
      <c r="C37" s="139"/>
      <c r="D37" s="1071"/>
      <c r="E37" s="1071"/>
      <c r="F37" s="1653"/>
      <c r="G37" s="121"/>
      <c r="H37" s="121"/>
      <c r="I37" s="121"/>
    </row>
    <row r="38" spans="1:15" ht="15.75" thickBot="1">
      <c r="A38" s="3395"/>
      <c r="B38" s="1654" t="s">
        <v>1309</v>
      </c>
      <c r="C38" s="641"/>
      <c r="D38" s="1655" t="s">
        <v>1310</v>
      </c>
      <c r="E38" s="1071"/>
      <c r="F38" s="1653"/>
      <c r="G38" s="121"/>
      <c r="H38" s="121"/>
      <c r="I38" s="121"/>
    </row>
    <row r="39" spans="1:15" ht="15">
      <c r="A39" s="1632" t="s">
        <v>1311</v>
      </c>
      <c r="B39" s="1656" t="s">
        <v>1295</v>
      </c>
      <c r="C39" s="1657" t="s">
        <v>1296</v>
      </c>
      <c r="D39" s="1657" t="s">
        <v>1314</v>
      </c>
      <c r="E39" s="1658" t="s">
        <v>1297</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70" t="s">
        <v>1320</v>
      </c>
      <c r="B45" s="3371"/>
      <c r="C45" s="3372"/>
      <c r="D45" s="147" t="e">
        <f ca="1">ROUND(H101*F45,0)</f>
        <v>#N/A</v>
      </c>
      <c r="E45" s="148" t="s">
        <v>1321</v>
      </c>
      <c r="F45" s="149">
        <v>1</v>
      </c>
      <c r="G45" s="150" t="s">
        <v>1322</v>
      </c>
      <c r="H45" s="121"/>
      <c r="I45" s="121"/>
      <c r="J45" s="3448" t="s">
        <v>1323</v>
      </c>
      <c r="K45" s="3448"/>
      <c r="L45" s="3448"/>
      <c r="M45" s="3448"/>
      <c r="N45" s="3448"/>
      <c r="O45" s="3448"/>
    </row>
    <row r="46" spans="1:15" ht="14.25" customHeight="1">
      <c r="A46" s="3367" t="s">
        <v>1324</v>
      </c>
      <c r="B46" s="3368"/>
      <c r="C46" s="3368"/>
      <c r="D46" s="3368"/>
      <c r="E46" s="3368"/>
      <c r="F46" s="3368"/>
      <c r="G46" s="3369"/>
      <c r="H46" s="1667"/>
      <c r="I46" s="151"/>
      <c r="J46" s="2305">
        <v>1</v>
      </c>
      <c r="K46" s="3429" t="s">
        <v>1325</v>
      </c>
      <c r="L46" s="3429"/>
      <c r="M46" s="3449"/>
      <c r="N46" s="3449"/>
      <c r="O46" s="3449"/>
    </row>
    <row r="47" spans="1:15" ht="12" customHeight="1">
      <c r="A47" s="152" t="s">
        <v>1326</v>
      </c>
      <c r="B47" s="153"/>
      <c r="C47" s="154"/>
      <c r="D47" s="1024" t="s">
        <v>1327</v>
      </c>
      <c r="E47" s="294" t="s">
        <v>1328</v>
      </c>
      <c r="F47" s="155" t="s">
        <v>1329</v>
      </c>
      <c r="G47" s="2328" t="s">
        <v>1330</v>
      </c>
      <c r="H47" s="2329"/>
      <c r="I47" s="151"/>
      <c r="J47" s="2305">
        <v>2</v>
      </c>
      <c r="K47" s="3429" t="s">
        <v>1331</v>
      </c>
      <c r="L47" s="3429"/>
      <c r="M47" s="3450">
        <f>'数据-取费表'!B2</f>
        <v>45291</v>
      </c>
      <c r="N47" s="3450"/>
      <c r="O47" s="3450"/>
    </row>
    <row r="48" spans="1:15" ht="25.5">
      <c r="A48" s="3398" t="s">
        <v>1332</v>
      </c>
      <c r="B48" s="3381"/>
      <c r="C48" s="3381"/>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29" t="s">
        <v>1334</v>
      </c>
      <c r="L48" s="3429"/>
      <c r="M48" s="3451" t="e">
        <f ca="1">H101</f>
        <v>#N/A</v>
      </c>
      <c r="N48" s="3451"/>
      <c r="O48" s="3451"/>
    </row>
    <row r="49" spans="1:35" ht="25.5" customHeight="1">
      <c r="A49" s="2148" t="s">
        <v>1335</v>
      </c>
      <c r="B49" s="3365" t="s">
        <v>1336</v>
      </c>
      <c r="C49" s="3365"/>
      <c r="D49" s="1477">
        <v>0</v>
      </c>
      <c r="E49" s="316" t="s">
        <v>1337</v>
      </c>
      <c r="F49" s="2228" t="s">
        <v>28</v>
      </c>
      <c r="G49" s="3435"/>
      <c r="H49" s="2130" t="s">
        <v>2128</v>
      </c>
      <c r="I49" s="2131"/>
      <c r="J49" s="2305">
        <v>4</v>
      </c>
      <c r="K49" s="3429" t="str">
        <f>IF(项目基本情况!E8="房地产抵押价值","房地产抵押价值","抵押担保权已注销时的房地产抵押价值")</f>
        <v>抵押担保权已注销时的房地产抵押价值</v>
      </c>
      <c r="L49" s="3429"/>
      <c r="M49" s="3451" t="str">
        <f>IF(项目基本情况!E8="房地产抵押价值",H107,H109)</f>
        <v>——</v>
      </c>
      <c r="N49" s="3451"/>
      <c r="O49" s="3451"/>
    </row>
    <row r="50" spans="1:35" ht="25.5" customHeight="1">
      <c r="A50" s="2333"/>
      <c r="B50" s="3365" t="s">
        <v>1338</v>
      </c>
      <c r="C50" s="3365"/>
      <c r="D50" s="2185"/>
      <c r="E50" s="323"/>
      <c r="F50" s="2228"/>
      <c r="G50" s="3436"/>
      <c r="H50" s="2132" t="s">
        <v>2129</v>
      </c>
      <c r="I50" s="2131"/>
      <c r="J50" s="3448" t="s">
        <v>1339</v>
      </c>
      <c r="K50" s="3448"/>
      <c r="L50" s="3448"/>
      <c r="M50" s="3448"/>
      <c r="N50" s="3448"/>
      <c r="O50" s="3448"/>
    </row>
    <row r="51" spans="1:35" ht="20.45" customHeight="1">
      <c r="A51" s="2334"/>
      <c r="B51" s="3365" t="s">
        <v>1340</v>
      </c>
      <c r="C51" s="3365"/>
      <c r="D51" s="1024"/>
      <c r="E51" s="319"/>
      <c r="F51" s="2228"/>
      <c r="G51" s="3437"/>
      <c r="H51" s="2132" t="s">
        <v>2130</v>
      </c>
      <c r="I51" s="2131"/>
      <c r="J51" s="2306" t="s">
        <v>1341</v>
      </c>
      <c r="K51" s="3429" t="s">
        <v>1342</v>
      </c>
      <c r="L51" s="3429"/>
      <c r="M51" s="2306" t="s">
        <v>1343</v>
      </c>
      <c r="N51" s="2306" t="s">
        <v>1344</v>
      </c>
      <c r="O51" s="2306" t="s">
        <v>1345</v>
      </c>
    </row>
    <row r="52" spans="1:35" ht="24" customHeight="1">
      <c r="A52" s="2149" t="s">
        <v>1346</v>
      </c>
      <c r="B52" s="3365" t="s">
        <v>1347</v>
      </c>
      <c r="C52" s="3365"/>
      <c r="D52" s="1024" t="e">
        <f ca="1">ROUND(D45*'数据-取费表'!B41/(1+'数据-取费表'!C42),0)</f>
        <v>#N/A</v>
      </c>
      <c r="E52" s="1255" t="s">
        <v>1348</v>
      </c>
      <c r="F52" s="2335">
        <f>'数据-取费表'!B41</f>
        <v>5.6000000000000001E-2</v>
      </c>
      <c r="G52" s="2336"/>
      <c r="H52" s="2326"/>
      <c r="I52" s="1668"/>
      <c r="J52" s="2305">
        <v>1</v>
      </c>
      <c r="K52" s="3430" t="s">
        <v>1349</v>
      </c>
      <c r="L52" s="3430"/>
      <c r="M52" s="2307" t="b">
        <f>D48</f>
        <v>0</v>
      </c>
      <c r="N52" s="2305" t="str">
        <f>E48</f>
        <v>销售额×税（费）率</v>
      </c>
      <c r="O52" s="2308">
        <f>F48</f>
        <v>5.6000000000000001E-2</v>
      </c>
    </row>
    <row r="53" spans="1:35" ht="12" customHeight="1">
      <c r="A53" s="2149" t="s">
        <v>1350</v>
      </c>
      <c r="B53" s="3391" t="s">
        <v>2285</v>
      </c>
      <c r="C53" s="3392"/>
      <c r="D53" s="1024" t="e">
        <f ca="1">ROUND(D45*'数据-取费表'!B41/(1+'数据-取费表'!C42),0)</f>
        <v>#N/A</v>
      </c>
      <c r="E53" s="1255" t="s">
        <v>1348</v>
      </c>
      <c r="F53" s="2335">
        <f>'数据-取费表'!B41</f>
        <v>5.6000000000000001E-2</v>
      </c>
      <c r="G53" s="2336"/>
      <c r="H53" s="2326"/>
      <c r="I53" s="1668"/>
      <c r="J53" s="2305">
        <v>2</v>
      </c>
      <c r="K53" s="3430" t="s">
        <v>1351</v>
      </c>
      <c r="L53" s="3430"/>
      <c r="M53" s="2307" t="e">
        <f t="shared" ref="M53:O54" ca="1" si="0">D55</f>
        <v>#N/A</v>
      </c>
      <c r="N53" s="2305" t="str">
        <f t="shared" si="0"/>
        <v>销售额×税（费）率</v>
      </c>
      <c r="O53" s="2308" t="str">
        <f t="shared" si="0"/>
        <v>免征</v>
      </c>
    </row>
    <row r="54" spans="1:35" ht="12" customHeight="1">
      <c r="A54" s="2149" t="s">
        <v>1352</v>
      </c>
      <c r="B54" s="3391" t="s">
        <v>2286</v>
      </c>
      <c r="C54" s="3392"/>
      <c r="D54" s="1024" t="e">
        <f ca="1">C68</f>
        <v>#N/A</v>
      </c>
      <c r="E54" s="319" t="s">
        <v>1353</v>
      </c>
      <c r="F54" s="2335">
        <f>'数据-取费表'!B41</f>
        <v>5.6000000000000001E-2</v>
      </c>
      <c r="G54" s="2336"/>
      <c r="H54" s="2337"/>
      <c r="I54" s="1668"/>
      <c r="J54" s="2305">
        <v>3</v>
      </c>
      <c r="K54" s="3430" t="s">
        <v>1354</v>
      </c>
      <c r="L54" s="3430"/>
      <c r="M54" s="2307" t="e">
        <f t="shared" ca="1" si="0"/>
        <v>#N/A</v>
      </c>
      <c r="N54" s="2305" t="str">
        <f t="shared" si="0"/>
        <v>增值额×税（费）率</v>
      </c>
      <c r="O54" s="2309" t="str">
        <f t="shared" si="0"/>
        <v>免征</v>
      </c>
    </row>
    <row r="55" spans="1:35" ht="24" customHeight="1">
      <c r="A55" s="3380" t="s">
        <v>1355</v>
      </c>
      <c r="B55" s="3381"/>
      <c r="C55" s="3381"/>
      <c r="D55" s="12" t="e">
        <f ca="1">IF(H55="个人住宅",0,ROUND(D45*I55,0))</f>
        <v>#N/A</v>
      </c>
      <c r="E55" s="1255" t="s">
        <v>1356</v>
      </c>
      <c r="F55" s="2335" t="str">
        <f>IF(H55="正常",I55,"免征")</f>
        <v>免征</v>
      </c>
      <c r="G55" s="2336"/>
      <c r="H55" s="2332"/>
      <c r="I55" s="157">
        <f>'数据-取费表'!B49</f>
        <v>5.0000000000000001E-4</v>
      </c>
      <c r="J55" s="2305">
        <f>IF(H59="非个人房产","",4)</f>
        <v>4</v>
      </c>
      <c r="K55" s="3430" t="str">
        <f>IF(H59="非个人房产","——","个人所得税")</f>
        <v>个人所得税</v>
      </c>
      <c r="L55" s="3430"/>
      <c r="M55" s="2310" t="e">
        <f ca="1">D59</f>
        <v>#N/A</v>
      </c>
      <c r="N55" s="1879" t="str">
        <f>E59</f>
        <v>差额计税</v>
      </c>
      <c r="O55" s="2311">
        <f>F59</f>
        <v>0.01</v>
      </c>
    </row>
    <row r="56" spans="1:35" ht="24.75">
      <c r="A56" s="3380" t="s">
        <v>1357</v>
      </c>
      <c r="B56" s="3381"/>
      <c r="C56" s="3381"/>
      <c r="D56" s="12" t="e">
        <f ca="1">IF(H56="个人住宅",D57,D58)</f>
        <v>#N/A</v>
      </c>
      <c r="E56" s="1255" t="s">
        <v>1358</v>
      </c>
      <c r="F56" s="2335" t="str">
        <f>IF(H56="正常",F58,"免征")</f>
        <v>免征</v>
      </c>
      <c r="G56" s="2338" t="s">
        <v>1359</v>
      </c>
      <c r="H56" s="2339"/>
      <c r="I56" s="1669"/>
      <c r="J56" s="2305" t="str">
        <f>IF(项目基本情况!K6="上海银行",IF(J55="",4,J55+1),"")</f>
        <v/>
      </c>
      <c r="K56" s="3453" t="str">
        <f>IF(项目基本情况!K6="上海银行","其他处置费用","")</f>
        <v/>
      </c>
      <c r="L56" s="3454"/>
      <c r="M56" s="2307" t="str">
        <f>IF(项目基本情况!K6="上海银行",M69,"")</f>
        <v/>
      </c>
      <c r="N56" s="3453" t="str">
        <f>IF(项目基本情况!K6="上海银行","包含处置中涉及的律师、诉讼、拍卖、评估等费用","")</f>
        <v/>
      </c>
      <c r="O56" s="3456"/>
    </row>
    <row r="57" spans="1:35" ht="12.75">
      <c r="A57" s="2149" t="s">
        <v>1335</v>
      </c>
      <c r="B57" s="3391" t="s">
        <v>1360</v>
      </c>
      <c r="C57" s="3392"/>
      <c r="D57" s="1477">
        <v>0</v>
      </c>
      <c r="E57" s="316" t="s">
        <v>1337</v>
      </c>
      <c r="F57" s="294"/>
      <c r="G57" s="2336"/>
      <c r="H57" s="2340"/>
      <c r="I57" s="1669"/>
      <c r="J57" s="3430">
        <f>IF(AND(J55="",J56=""),4,IF(项目基本情况!K6="上海银行",'结果表-地下车库'!J56+1,'结果表-地下车库'!J55+1))</f>
        <v>5</v>
      </c>
      <c r="K57" s="3430" t="s">
        <v>1361</v>
      </c>
      <c r="L57" s="2312" t="s">
        <v>1362</v>
      </c>
      <c r="M57" s="2313"/>
      <c r="N57" s="2314">
        <f ca="1">SUMIF(M52:M56,"&lt;9e307")</f>
        <v>0</v>
      </c>
      <c r="O57" s="2315"/>
      <c r="P57" s="2459" t="e">
        <f ca="1">N57/M49</f>
        <v>#VALUE!</v>
      </c>
    </row>
    <row r="58" spans="1:35" ht="24.75">
      <c r="A58" s="2149" t="s">
        <v>1346</v>
      </c>
      <c r="B58" s="3391" t="s">
        <v>1363</v>
      </c>
      <c r="C58" s="3365"/>
      <c r="D58" s="12" t="e">
        <f ca="1">IF(H58="转让取得",C81,C97)</f>
        <v>#N/A</v>
      </c>
      <c r="E58" s="1255" t="s">
        <v>1358</v>
      </c>
      <c r="F58" s="294" t="s">
        <v>28</v>
      </c>
      <c r="G58" s="2336"/>
      <c r="H58" s="2339"/>
      <c r="I58" s="1669"/>
      <c r="J58" s="3430"/>
      <c r="K58" s="3430"/>
      <c r="L58" s="2312" t="s">
        <v>1364</v>
      </c>
      <c r="M58" s="2316"/>
      <c r="N58" s="2317" t="str">
        <f ca="1">NUMBERSTRING(INT(N57*10000),2)&amp;"元整"</f>
        <v>零元整</v>
      </c>
      <c r="O58" s="2318"/>
    </row>
    <row r="59" spans="1:35" ht="24.75" thickBot="1">
      <c r="A59" s="3433" t="s">
        <v>1365</v>
      </c>
      <c r="B59" s="3434"/>
      <c r="C59" s="3434"/>
      <c r="D59" s="2341" t="e">
        <f ca="1">IF(H59="非个人房产","——",IF(H59="个人住宅（满五唯一有凭证）",0,IF(H59="个人其他（无凭证）",ROUND(D45*F59,0),ROUND(C67*F59,0))))</f>
        <v>#N/A</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31">
        <f>J57+1</f>
        <v>6</v>
      </c>
      <c r="K59" s="3430" t="s">
        <v>1366</v>
      </c>
      <c r="L59" s="2305" t="s">
        <v>1362</v>
      </c>
      <c r="M59" s="2319"/>
      <c r="N59" s="2320" t="e">
        <f ca="1">M49-N57</f>
        <v>#VALUE!</v>
      </c>
      <c r="O59" s="2321"/>
    </row>
    <row r="60" spans="1:35" ht="12" customHeight="1">
      <c r="A60" s="1670"/>
      <c r="B60" s="646"/>
      <c r="C60" s="646"/>
      <c r="D60" s="646"/>
      <c r="E60" s="1465"/>
      <c r="F60" s="1669"/>
      <c r="G60" s="1669"/>
      <c r="H60" s="151"/>
      <c r="I60" s="121"/>
      <c r="J60" s="3432"/>
      <c r="K60" s="3430"/>
      <c r="L60" s="2312" t="s">
        <v>1364</v>
      </c>
      <c r="M60" s="2316"/>
      <c r="N60" s="2317" t="e">
        <f ca="1">NUMBERSTRING(INT(N59*10000),2)&amp;"元整"</f>
        <v>#VALUE!</v>
      </c>
      <c r="O60" s="2318"/>
    </row>
    <row r="61" spans="1:35" ht="13.5" thickBot="1">
      <c r="A61" s="3378" t="s">
        <v>1367</v>
      </c>
      <c r="B61" s="3378"/>
      <c r="C61" s="3378"/>
      <c r="D61" s="3378"/>
      <c r="E61" s="3378"/>
      <c r="F61" s="1669"/>
      <c r="G61" s="1669"/>
      <c r="H61" s="151"/>
      <c r="I61" s="121"/>
      <c r="J61" s="2305">
        <f>J59+1</f>
        <v>7</v>
      </c>
      <c r="K61" s="3430" t="s">
        <v>1368</v>
      </c>
      <c r="L61" s="3430"/>
      <c r="M61" s="2322"/>
      <c r="N61" s="2323" t="e">
        <f ca="1">ROUND(N59*10000/'数据-汇总表'!E3,0)</f>
        <v>#VALUE!</v>
      </c>
      <c r="O61" s="2324"/>
    </row>
    <row r="62" spans="1:35" ht="12.75">
      <c r="A62" s="3396" t="s">
        <v>1369</v>
      </c>
      <c r="B62" s="3397"/>
      <c r="C62" s="1861"/>
      <c r="D62" s="1861" t="s">
        <v>1370</v>
      </c>
      <c r="E62" s="158" t="s">
        <v>1371</v>
      </c>
      <c r="F62" s="1669"/>
      <c r="G62" s="1669"/>
      <c r="H62" s="151"/>
      <c r="I62" s="121"/>
    </row>
    <row r="63" spans="1:35" ht="12.75">
      <c r="A63" s="165" t="s">
        <v>330</v>
      </c>
      <c r="B63" s="159" t="s">
        <v>1372</v>
      </c>
      <c r="C63" s="2345" t="e">
        <f ca="1">ROUND((C64+C65)/(1+'数据-取费表'!C42),0)</f>
        <v>#N/A</v>
      </c>
      <c r="D63" s="159"/>
      <c r="E63" s="160"/>
      <c r="F63" s="1669"/>
      <c r="G63" s="1669"/>
      <c r="H63" s="151"/>
      <c r="I63" s="121"/>
      <c r="J63" s="3455"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t="e">
        <f ca="1">D45</f>
        <v>#N/A</v>
      </c>
      <c r="D64" s="162" t="s">
        <v>26</v>
      </c>
      <c r="E64" s="164"/>
      <c r="F64" s="1669"/>
      <c r="G64" s="1669"/>
      <c r="H64" s="151"/>
      <c r="I64" s="121"/>
      <c r="J64" s="3455"/>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55"/>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55"/>
      <c r="K66" s="1244" t="s">
        <v>1381</v>
      </c>
      <c r="L66" s="1244" t="e">
        <f>M49*0.5%</f>
        <v>#VALUE!</v>
      </c>
      <c r="M66" s="294" t="e">
        <f>IF(L66&gt;0.5,0.5,ROUND(L66,0))</f>
        <v>#VALUE!</v>
      </c>
      <c r="N66" s="2326" t="s">
        <v>1382</v>
      </c>
      <c r="Z66" s="1622"/>
      <c r="AI66" s="1560"/>
    </row>
    <row r="67" spans="1:35" ht="14.25" customHeight="1">
      <c r="A67" s="165" t="s">
        <v>328</v>
      </c>
      <c r="B67" s="166" t="s">
        <v>1383</v>
      </c>
      <c r="C67" s="2349" t="e">
        <f ca="1">C63-C66</f>
        <v>#N/A</v>
      </c>
      <c r="D67" s="162" t="s">
        <v>26</v>
      </c>
      <c r="E67" s="164"/>
      <c r="F67" s="1669"/>
      <c r="G67" s="1669"/>
      <c r="H67" s="151"/>
      <c r="I67" s="121"/>
      <c r="J67" s="3455"/>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t="e">
        <f ca="1">IF(C67&lt;=0,0,ROUND(C67*D68,0))</f>
        <v>#N/A</v>
      </c>
      <c r="D68" s="2351">
        <f>'数据-取费表'!B41</f>
        <v>5.6000000000000001E-2</v>
      </c>
      <c r="E68" s="170"/>
      <c r="F68" s="1669"/>
      <c r="G68" s="1669"/>
      <c r="H68" s="151"/>
      <c r="I68" s="121"/>
      <c r="J68" s="3455"/>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55"/>
      <c r="K69" s="1244" t="s">
        <v>1387</v>
      </c>
      <c r="L69" s="1244"/>
      <c r="M69" s="294" t="e">
        <f>ROUND(SUM(M63:M68),0)</f>
        <v>#VALUE!</v>
      </c>
      <c r="N69" s="2327" t="e">
        <f>M69/M49</f>
        <v>#VALUE!</v>
      </c>
      <c r="Z69" s="1622"/>
      <c r="AI69" s="1560"/>
    </row>
    <row r="70" spans="1:35" s="642" customFormat="1" ht="15" thickBot="1">
      <c r="A70" s="3417" t="s">
        <v>1388</v>
      </c>
      <c r="B70" s="3418"/>
      <c r="C70" s="3418"/>
      <c r="D70" s="3418"/>
      <c r="E70" s="3418"/>
      <c r="F70" s="3418"/>
      <c r="G70" s="3418"/>
      <c r="H70" s="341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96" t="s">
        <v>1369</v>
      </c>
      <c r="B71" s="3397"/>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t="e">
        <f ca="1">ROUND(D45/(1+'数据-取费表'!C42),0)</f>
        <v>#N/A</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t="e">
        <f ca="1">C74+C78</f>
        <v>#N/A</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391" t="s">
        <v>1396</v>
      </c>
      <c r="F76" s="3365"/>
      <c r="G76" s="3365"/>
      <c r="H76" s="34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t="e">
        <f ca="1">ROUND(D45*D78/(1+'数据-取费表'!C42),0)</f>
        <v>#N/A</v>
      </c>
      <c r="D78" s="2358">
        <f>'数据-取费表'!B43</f>
        <v>6.000000000000001E-3</v>
      </c>
      <c r="E78" s="3375" t="s">
        <v>1400</v>
      </c>
      <c r="F78" s="3376"/>
      <c r="G78" s="3376"/>
      <c r="H78" s="338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328</v>
      </c>
      <c r="B79" s="166" t="s">
        <v>1401</v>
      </c>
      <c r="C79" s="2349" t="e">
        <f ca="1">C72-C73</f>
        <v>#N/A</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t="e">
        <f ca="1">ROUND(IF(C79&lt;=0,0,IF(C80&gt;=200%,C79*60%-C73*35%,IF(C80&gt;=100%,C79*50%-C73*15%,IF(C80&gt;=50%,C79*40%-C73*5%,IF(C80&lt;50%,C79*30%,0))))),0)</f>
        <v>#N/A</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17" t="s">
        <v>1404</v>
      </c>
      <c r="B83" s="3418"/>
      <c r="C83" s="3418"/>
      <c r="D83" s="3418"/>
      <c r="E83" s="3418"/>
      <c r="F83" s="3418"/>
      <c r="G83" s="3418"/>
      <c r="H83" s="34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96" t="s">
        <v>1369</v>
      </c>
      <c r="B84" s="3397"/>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t="e">
        <f ca="1">ROUND(D45/(1+'数据-取费表'!C42),0)</f>
        <v>#N/A</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t="e">
        <f ca="1">IF(H88="仅含出让金",C87+C90+C91+C92+C93+C94,C87+C91+C92+C93+C94)</f>
        <v>#N/A</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57" t="s">
        <v>2123</v>
      </c>
      <c r="H90" s="3458"/>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75" t="s">
        <v>1413</v>
      </c>
      <c r="F91" s="3376"/>
      <c r="G91" s="337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75" t="s">
        <v>1416</v>
      </c>
      <c r="F92" s="3376"/>
      <c r="G92" s="3376"/>
      <c r="H92" s="3385"/>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t="e">
        <f ca="1">ROUND(D45*D93/(1+'数据-取费表'!C42),0)</f>
        <v>#N/A</v>
      </c>
      <c r="D93" s="2358">
        <f>'数据-取费表'!B43</f>
        <v>6.000000000000001E-3</v>
      </c>
      <c r="E93" s="3375" t="s">
        <v>1400</v>
      </c>
      <c r="F93" s="3376"/>
      <c r="G93" s="3376"/>
      <c r="H93" s="338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386" t="s">
        <v>1420</v>
      </c>
      <c r="F94" s="3387"/>
      <c r="G94" s="3387"/>
      <c r="H94" s="338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328</v>
      </c>
      <c r="B95" s="166" t="s">
        <v>1401</v>
      </c>
      <c r="C95" s="2349" t="e">
        <f ca="1">ROUND(C85-C86,0)</f>
        <v>#N/A</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t="e">
        <f ca="1">ROUND(IF(C95&lt;=0,0,IF(C96&gt;=200%,C95*60%-C86*35%,IF(C96&gt;=100%,C95*50%-C86*15%,IF(C96&gt;=50%,C95*40%-C86*5%,IF(C96&lt;50%,C95*30%,0))))),0)</f>
        <v>#N/A</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59" t="s">
        <v>1422</v>
      </c>
      <c r="B100" s="3360"/>
      <c r="C100" s="3360"/>
      <c r="D100" s="3377"/>
      <c r="E100" s="3360" t="s">
        <v>1423</v>
      </c>
      <c r="F100" s="3360"/>
      <c r="G100" s="3360"/>
      <c r="H100" s="3377"/>
      <c r="I100" s="121"/>
    </row>
    <row r="101" spans="1:35" ht="18.75" customHeight="1">
      <c r="A101" s="3438" t="s">
        <v>1424</v>
      </c>
      <c r="B101" s="3439"/>
      <c r="C101" s="2366" t="str">
        <f>C4</f>
        <v>收益法-地下车库</v>
      </c>
      <c r="D101" s="2367" t="str">
        <f>D4</f>
        <v>收益法-地下车库</v>
      </c>
      <c r="E101" s="3452" t="s">
        <v>1425</v>
      </c>
      <c r="F101" s="3409"/>
      <c r="G101" s="1686" t="s">
        <v>1426</v>
      </c>
      <c r="H101" s="2376" t="e">
        <f ca="1">H118</f>
        <v>#N/A</v>
      </c>
      <c r="I101" s="121"/>
    </row>
    <row r="102" spans="1:35" ht="18.75" customHeight="1">
      <c r="A102" s="3411" t="s">
        <v>1427</v>
      </c>
      <c r="B102" s="2365" t="s">
        <v>1426</v>
      </c>
      <c r="C102" s="2366" t="e">
        <f ca="1">IF(D32="楼面单价",ROUND(C19,0),C19)</f>
        <v>#N/A</v>
      </c>
      <c r="D102" s="2367" t="e">
        <f ca="1">IF(D32="楼面单价",ROUND(D19,0),D19)</f>
        <v>#N/A</v>
      </c>
      <c r="E102" s="3452"/>
      <c r="F102" s="3409"/>
      <c r="G102" s="1686" t="s">
        <v>1428</v>
      </c>
      <c r="H102" s="2336" t="e">
        <f ca="1">I118</f>
        <v>#N/A</v>
      </c>
      <c r="I102" s="121"/>
    </row>
    <row r="103" spans="1:35" ht="42.75" customHeight="1">
      <c r="A103" s="3411"/>
      <c r="B103" s="2365" t="s">
        <v>1428</v>
      </c>
      <c r="C103" s="2368">
        <f ca="1">C20</f>
        <v>0</v>
      </c>
      <c r="D103" s="2369">
        <f ca="1">D20</f>
        <v>0</v>
      </c>
      <c r="E103" s="3446" t="s">
        <v>1429</v>
      </c>
      <c r="F103" s="3447"/>
      <c r="G103" s="1687" t="s">
        <v>1430</v>
      </c>
      <c r="H103" s="2376">
        <f>IF(D36="正常操作",H104+H105+H106,H105+H106)</f>
        <v>0</v>
      </c>
      <c r="I103" s="121"/>
    </row>
    <row r="104" spans="1:35" ht="18.75" customHeight="1">
      <c r="A104" s="3411" t="s">
        <v>1431</v>
      </c>
      <c r="B104" s="2370" t="s">
        <v>1426</v>
      </c>
      <c r="C104" s="2371" t="e">
        <f ca="1">H118</f>
        <v>#N/A</v>
      </c>
      <c r="D104" s="2372"/>
      <c r="E104" s="1554" t="s">
        <v>1432</v>
      </c>
      <c r="F104" s="1547"/>
      <c r="G104" s="1687" t="s">
        <v>1430</v>
      </c>
      <c r="H104" s="2377">
        <f>IF(D36="同一抵押权人同一抵押物续贷",C36&amp;"（续贷，未扣减，详见特别提示）",C36)</f>
        <v>0</v>
      </c>
      <c r="I104" s="121"/>
    </row>
    <row r="105" spans="1:35" ht="18.75" customHeight="1" thickBot="1">
      <c r="A105" s="3412"/>
      <c r="B105" s="2373" t="s">
        <v>1428</v>
      </c>
      <c r="C105" s="2374" t="e">
        <f ca="1">I118</f>
        <v>#N/A</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08" t="str">
        <f>IF(项目基本情况!E8="已注销","——","3.房地产抵押价值")</f>
        <v>3.房地产抵押价值</v>
      </c>
      <c r="F107" s="3409"/>
      <c r="G107" s="1686" t="s">
        <v>1426</v>
      </c>
      <c r="H107" s="2376" t="e">
        <f ca="1">IF(E107="——","——",H101-H103)</f>
        <v>#N/A</v>
      </c>
      <c r="I107" s="121"/>
    </row>
    <row r="108" spans="1:35" ht="18.75" customHeight="1">
      <c r="A108" s="121"/>
      <c r="B108" s="121"/>
      <c r="C108" s="121"/>
      <c r="D108" s="121"/>
      <c r="E108" s="3408"/>
      <c r="F108" s="3409"/>
      <c r="G108" s="1686" t="s">
        <v>1428</v>
      </c>
      <c r="H108" s="2336" t="e">
        <f ca="1">IF(H107=H101,H102,ROUND(H107*10000/'数据-汇总表'!E3,0))</f>
        <v>#N/A</v>
      </c>
      <c r="I108" s="121"/>
    </row>
    <row r="109" spans="1:35" ht="18.75" customHeight="1">
      <c r="A109" s="121"/>
      <c r="B109" s="121"/>
      <c r="C109" s="121"/>
      <c r="D109" s="121"/>
      <c r="E109" s="3408" t="str">
        <f>IF(项目基本情况!E8="已注销及未注销","4.抵押担保权已注销时的房地产抵押价值",IF(项目基本情况!E8="已注销","3.抵押担保权已注销时的房地产抵押价值","——"))</f>
        <v>——</v>
      </c>
      <c r="F109" s="3409"/>
      <c r="G109" s="1686" t="s">
        <v>1426</v>
      </c>
      <c r="H109" s="2379" t="str">
        <f>IF(E109="——","——",H101-H105-H106)</f>
        <v>——</v>
      </c>
      <c r="I109" s="121"/>
    </row>
    <row r="110" spans="1:35" ht="18.75" customHeight="1">
      <c r="A110" s="121"/>
      <c r="B110" s="121"/>
      <c r="C110" s="121"/>
      <c r="D110" s="121"/>
      <c r="E110" s="3408"/>
      <c r="F110" s="3409"/>
      <c r="G110" s="1686" t="s">
        <v>1428</v>
      </c>
      <c r="H110" s="2336" t="str">
        <f>IF(H109="——","——",ROUND(H109*10000/'数据-汇总表'!E3,0))</f>
        <v>——</v>
      </c>
      <c r="I110" s="121"/>
    </row>
    <row r="111" spans="1:35" ht="18.75" customHeight="1">
      <c r="A111" s="121"/>
      <c r="B111" s="121"/>
      <c r="C111" s="121"/>
      <c r="D111" s="121"/>
      <c r="E111" s="3440" t="str">
        <f>IF(项目基本情况!E9="抵押净值",IF(OR(项目基本情况!E8="已注销",项目基本情况!E8="房地产抵押价值"),"4.抵押净值","5.抵押净值"),"——")</f>
        <v>——</v>
      </c>
      <c r="F111" s="3410"/>
      <c r="G111" s="1686" t="s">
        <v>1426</v>
      </c>
      <c r="H111" s="2376" t="str">
        <f>IF(E111="——","——",N59)</f>
        <v>——</v>
      </c>
      <c r="I111" s="121"/>
    </row>
    <row r="112" spans="1:35" ht="18.75" customHeight="1" thickBot="1">
      <c r="A112" s="121"/>
      <c r="B112" s="121"/>
      <c r="C112" s="121"/>
      <c r="D112" s="121"/>
      <c r="E112" s="3441"/>
      <c r="F112" s="3442"/>
      <c r="G112" s="1689" t="s">
        <v>1428</v>
      </c>
      <c r="H112" s="2380" t="str">
        <f>IF(E111="——","——",N61)</f>
        <v>——</v>
      </c>
      <c r="I112" s="121"/>
    </row>
    <row r="113" spans="1:27" ht="18.75" customHeight="1">
      <c r="A113" s="121"/>
      <c r="B113" s="121"/>
      <c r="C113" s="121"/>
      <c r="D113" s="121"/>
      <c r="E113" s="3413" t="s">
        <v>1434</v>
      </c>
      <c r="F113" s="3413"/>
      <c r="G113" s="3413"/>
      <c r="H113" s="3413"/>
      <c r="I113" s="121"/>
    </row>
    <row r="114" spans="1:27" ht="3.75" customHeight="1">
      <c r="A114" s="646"/>
      <c r="B114" s="646"/>
      <c r="C114" s="646"/>
      <c r="D114" s="646"/>
      <c r="E114" s="1670"/>
      <c r="F114" s="1670"/>
      <c r="G114" s="1670"/>
      <c r="H114" s="1670"/>
      <c r="I114" s="646"/>
    </row>
    <row r="115" spans="1:27" ht="18.75" customHeight="1">
      <c r="A115" s="3423" t="s">
        <v>1436</v>
      </c>
      <c r="B115" s="3424"/>
      <c r="C115" s="3424"/>
      <c r="D115" s="3424"/>
      <c r="E115" s="3424"/>
      <c r="F115" s="3424"/>
      <c r="G115" s="3424"/>
      <c r="H115" s="3424"/>
      <c r="I115" s="3425"/>
    </row>
    <row r="116" spans="1:27" ht="27" customHeight="1">
      <c r="A116" s="3379" t="s">
        <v>1437</v>
      </c>
      <c r="B116" s="3414" t="s">
        <v>1438</v>
      </c>
      <c r="C116" s="3414" t="s">
        <v>1439</v>
      </c>
      <c r="D116" s="3427" t="s">
        <v>1440</v>
      </c>
      <c r="E116" s="3428"/>
      <c r="F116" s="3422" t="s">
        <v>1441</v>
      </c>
      <c r="G116" s="3422"/>
      <c r="H116" s="3379" t="s">
        <v>1442</v>
      </c>
      <c r="I116" s="3379"/>
    </row>
    <row r="117" spans="1:27" ht="18.75" customHeight="1">
      <c r="A117" s="3379"/>
      <c r="B117" s="3415"/>
      <c r="C117" s="3415"/>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0</v>
      </c>
      <c r="C118" s="2146">
        <f>M19</f>
        <v>0</v>
      </c>
      <c r="D118" s="2146" t="e">
        <f ca="1">ROUND(IF(D32="总价",C34,E118*B118/10000),0)</f>
        <v>#N/A</v>
      </c>
      <c r="E118" s="2146" t="e">
        <f ca="1">ROUND(IF(C33="自定义",IF(D32="楼面单价",C34,D118*10000/B118),I118-G118),0)</f>
        <v>#N/A</v>
      </c>
      <c r="F118" s="2146" t="e">
        <f ca="1">ROUND(IF(D32="总价",C35,G118*B118/10000),0)</f>
        <v>#N/A</v>
      </c>
      <c r="G118" s="2146" t="e">
        <f ca="1">ROUND(IF(D32="楼面单价",C35,F118*10000/B118),0)</f>
        <v>#N/A</v>
      </c>
      <c r="H118" s="2146" t="e">
        <f ca="1">ROUND(IF(D32="总价",C32,I118*B118/10000),0)</f>
        <v>#N/A</v>
      </c>
      <c r="I118" s="2146" t="e">
        <f ca="1">ROUND(IF(D32="楼面单价",C32,H118*10000/B118),0)</f>
        <v>#N/A</v>
      </c>
    </row>
    <row r="119" spans="1:27" ht="18.75" customHeight="1">
      <c r="A119" s="3379" t="s">
        <v>1446</v>
      </c>
      <c r="B119" s="3379"/>
      <c r="C119" s="3379"/>
      <c r="D119" s="3419" t="e">
        <f ca="1">NUMBERSTRING(INT(D118*10000),2)&amp;"元整"</f>
        <v>#N/A</v>
      </c>
      <c r="E119" s="3421"/>
      <c r="F119" s="3419" t="e">
        <f ca="1">NUMBERSTRING(INT(F118*10000),2)&amp;"元整"</f>
        <v>#N/A</v>
      </c>
      <c r="G119" s="3421"/>
      <c r="H119" s="3419" t="e">
        <f ca="1">NUMBERSTRING(INT(H118*10000),2)&amp;"元整"</f>
        <v>#N/A</v>
      </c>
      <c r="I119" s="3421"/>
    </row>
    <row r="120" spans="1:27" ht="18.75" customHeight="1">
      <c r="A120" s="3443" t="str">
        <f>IF(项目基本情况!B9="房地产市场价值","",MID(E103,3,LEN(E103)-2))</f>
        <v/>
      </c>
      <c r="B120" s="3444"/>
      <c r="C120" s="3445"/>
      <c r="D120" s="3443">
        <f>H103</f>
        <v>0</v>
      </c>
      <c r="E120" s="3444"/>
      <c r="F120" s="3444"/>
      <c r="G120" s="3444"/>
      <c r="H120" s="3444"/>
      <c r="I120" s="344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19" t="s">
        <v>1446</v>
      </c>
      <c r="B121" s="3420"/>
      <c r="C121" s="3421"/>
      <c r="D121" s="3419" t="str">
        <f>IF(D120=0,"零元整",NUMBERSTRING(INT(D120*10000),2)&amp;"元整")</f>
        <v>零元整</v>
      </c>
      <c r="E121" s="3420"/>
      <c r="F121" s="3420"/>
      <c r="G121" s="3420"/>
      <c r="H121" s="3420"/>
      <c r="I121" s="3421"/>
      <c r="AA121" s="684"/>
    </row>
    <row r="122" spans="1:27" ht="18.75" customHeight="1">
      <c r="A122" s="3410" t="str">
        <f>IF(项目基本情况!B9="房地产市场价值","",MID(E107,3,LEN(E107)-2))</f>
        <v/>
      </c>
      <c r="B122" s="3410"/>
      <c r="C122" s="3410"/>
      <c r="D122" s="3443" t="e">
        <f ca="1">H107</f>
        <v>#N/A</v>
      </c>
      <c r="E122" s="3444"/>
      <c r="F122" s="3444"/>
      <c r="G122" s="3444"/>
      <c r="H122" s="3444"/>
      <c r="I122" s="3445"/>
      <c r="AA122" s="684"/>
    </row>
    <row r="123" spans="1:27" ht="18.75" customHeight="1">
      <c r="A123" s="3379" t="s">
        <v>1446</v>
      </c>
      <c r="B123" s="3379"/>
      <c r="C123" s="3379"/>
      <c r="D123" s="3419" t="e">
        <f ca="1">NUMBERSTRING(INT(D122*10000),2)&amp;"元整"</f>
        <v>#N/A</v>
      </c>
      <c r="E123" s="3420"/>
      <c r="F123" s="3420"/>
      <c r="G123" s="3420"/>
      <c r="H123" s="3420"/>
      <c r="I123" s="3421"/>
      <c r="AA123" s="684"/>
    </row>
    <row r="124" spans="1:27" ht="18.75" customHeight="1">
      <c r="A124" s="3410" t="str">
        <f>IF(项目基本情况!B9="房地产市场价值","",MID(E109,3,LEN(E109)-2))</f>
        <v/>
      </c>
      <c r="B124" s="3410"/>
      <c r="C124" s="3410"/>
      <c r="D124" s="3443" t="str">
        <f>H109</f>
        <v>——</v>
      </c>
      <c r="E124" s="3444"/>
      <c r="F124" s="3444"/>
      <c r="G124" s="3444"/>
      <c r="H124" s="3444"/>
      <c r="I124" s="3445"/>
      <c r="AA124" s="684"/>
    </row>
    <row r="125" spans="1:27" ht="18.75" customHeight="1">
      <c r="A125" s="3379" t="s">
        <v>1446</v>
      </c>
      <c r="B125" s="3379"/>
      <c r="C125" s="3379"/>
      <c r="D125" s="3419" t="e">
        <f>NUMBERSTRING(INT(D124*10000),2)&amp;"元整"</f>
        <v>#VALUE!</v>
      </c>
      <c r="E125" s="3420"/>
      <c r="F125" s="3420"/>
      <c r="G125" s="3420"/>
      <c r="H125" s="3420"/>
      <c r="I125" s="3421"/>
      <c r="AA125" s="684"/>
    </row>
    <row r="126" spans="1:27" ht="18.75" customHeight="1">
      <c r="A126" s="3410" t="str">
        <f>IF(项目基本情况!B9="房地产市场价值","",MID(E111,3,LEN(E111)-2))</f>
        <v/>
      </c>
      <c r="B126" s="3410"/>
      <c r="C126" s="3410"/>
      <c r="D126" s="3443" t="str">
        <f>H111</f>
        <v>——</v>
      </c>
      <c r="E126" s="3444"/>
      <c r="F126" s="3444"/>
      <c r="G126" s="3444"/>
      <c r="H126" s="3444"/>
      <c r="I126" s="3445"/>
      <c r="AA126" s="684"/>
    </row>
    <row r="127" spans="1:27" ht="18.75" customHeight="1">
      <c r="A127" s="3379" t="s">
        <v>1446</v>
      </c>
      <c r="B127" s="3379"/>
      <c r="C127" s="3379"/>
      <c r="D127" s="3419" t="e">
        <f>NUMBERSTRING(INT(D126*10000),2)&amp;"元整"</f>
        <v>#VALUE!</v>
      </c>
      <c r="E127" s="3420"/>
      <c r="F127" s="3420"/>
      <c r="G127" s="3420"/>
      <c r="H127" s="3420"/>
      <c r="I127" s="3421"/>
      <c r="AA127" s="684"/>
    </row>
    <row r="128" spans="1:27" ht="21.75" customHeight="1">
      <c r="A128" s="3426" t="s">
        <v>1447</v>
      </c>
      <c r="B128" s="3426"/>
      <c r="C128" s="3426"/>
      <c r="D128" s="3426"/>
      <c r="E128" s="3426"/>
      <c r="F128" s="3426"/>
      <c r="G128" s="3426"/>
      <c r="H128" s="3426"/>
      <c r="I128" s="3426"/>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9" sqref="E3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4147</v>
      </c>
      <c r="C1" s="190"/>
      <c r="D1" s="190"/>
      <c r="E1" s="190"/>
      <c r="F1" s="190"/>
      <c r="G1" s="1062" t="e">
        <f>MATCH(B1,'数据-取费表'!A6:A16,0)+5</f>
        <v>#N/A</v>
      </c>
    </row>
    <row r="2" spans="1:9" s="192" customFormat="1" ht="18" customHeight="1">
      <c r="A2" s="193" t="s">
        <v>679</v>
      </c>
      <c r="B2" s="194" t="e">
        <f ca="1">IF(D2="——",C52,C52-E2)</f>
        <v>#N/A</v>
      </c>
      <c r="C2" s="191" t="s">
        <v>1457</v>
      </c>
      <c r="D2" s="1710" t="s">
        <v>43</v>
      </c>
      <c r="E2" s="1089" t="e">
        <f ca="1">SUMIF(INDIRECT("'"&amp;G2&amp;"'"&amp;"!A:A"),"承租人权益价值",INDIRECT("'"&amp;G2&amp;"'"&amp;"!c:c"))</f>
        <v>#REF!</v>
      </c>
      <c r="F2" s="1711" t="s">
        <v>1457</v>
      </c>
      <c r="G2" s="1712"/>
    </row>
    <row r="3" spans="1:9" s="192" customFormat="1" ht="18" customHeight="1" thickBot="1">
      <c r="A3" s="195" t="s">
        <v>680</v>
      </c>
      <c r="B3" s="196" t="e">
        <f ca="1">ROUND(B2*10000/(IF(B1="",'数据-汇总表'!E3,INDIRECT("'数据-取费表'!k"&amp;$G$1))),0)</f>
        <v>#N/A</v>
      </c>
      <c r="C3" s="191" t="s">
        <v>1459</v>
      </c>
      <c r="D3" s="191"/>
      <c r="E3" s="191"/>
      <c r="F3" s="191"/>
      <c r="G3" s="191"/>
    </row>
    <row r="4" spans="1:9" s="200" customFormat="1" ht="15.75">
      <c r="A4" s="197" t="s">
        <v>1460</v>
      </c>
      <c r="B4" s="198"/>
      <c r="C4" s="198"/>
      <c r="D4" s="198"/>
      <c r="E4" s="198"/>
      <c r="F4" s="198"/>
      <c r="G4" s="199"/>
    </row>
    <row r="5" spans="1:9" s="206" customFormat="1" ht="13.5" customHeight="1">
      <c r="A5" s="247" t="s">
        <v>337</v>
      </c>
      <c r="B5" s="202" t="s">
        <v>1462</v>
      </c>
      <c r="C5" s="203" t="e">
        <f ca="1">C6+C7+C8</f>
        <v>#N/A</v>
      </c>
      <c r="D5" s="203" t="s">
        <v>1463</v>
      </c>
      <c r="E5" s="204" t="s">
        <v>1464</v>
      </c>
      <c r="F5" s="204" t="s">
        <v>1465</v>
      </c>
      <c r="G5" s="205"/>
    </row>
    <row r="6" spans="1:9" s="206" customFormat="1" ht="13.5" customHeight="1">
      <c r="A6" s="732" t="s">
        <v>346</v>
      </c>
      <c r="B6" s="207" t="s">
        <v>1467</v>
      </c>
      <c r="C6" s="208">
        <v>0</v>
      </c>
      <c r="D6" s="209"/>
      <c r="E6" s="210"/>
      <c r="F6" s="210"/>
      <c r="G6" s="211"/>
    </row>
    <row r="7" spans="1:9" s="206" customFormat="1" ht="13.5" customHeight="1">
      <c r="A7" s="732" t="s">
        <v>347</v>
      </c>
      <c r="B7" s="207" t="s">
        <v>1469</v>
      </c>
      <c r="C7" s="212">
        <f>ROUND(C6*F7,0)</f>
        <v>0</v>
      </c>
      <c r="D7" s="212"/>
      <c r="E7" s="210"/>
      <c r="F7" s="213">
        <f>IF(项目基本情况!B8="出让",0,'数据-取费表'!B48+'数据-取费表'!B49)</f>
        <v>4.0500000000000001E-2</v>
      </c>
      <c r="G7" s="211"/>
    </row>
    <row r="8" spans="1:9" s="215" customFormat="1">
      <c r="A8" s="732" t="s">
        <v>348</v>
      </c>
      <c r="B8" s="207" t="s">
        <v>1471</v>
      </c>
      <c r="C8" s="212" t="e">
        <f ca="1">IF(G8="已包含在土地购买价格中","0",IF(B1="",'数据-取费表'!B29,IF(G9="全部缴纳",C9+C10,H9)))</f>
        <v>#N/A</v>
      </c>
      <c r="D8" s="214"/>
      <c r="E8" s="212"/>
      <c r="F8" s="213"/>
      <c r="G8" s="1713" t="s">
        <v>4154</v>
      </c>
    </row>
    <row r="9" spans="1:9" s="206" customFormat="1" ht="13.5" customHeight="1">
      <c r="A9" s="733" t="s">
        <v>355</v>
      </c>
      <c r="B9" s="216" t="s">
        <v>1472</v>
      </c>
      <c r="C9" s="217" t="e">
        <f ca="1">ROUND(D9*E9/10000,0)</f>
        <v>#N/A</v>
      </c>
      <c r="D9" s="795" t="e">
        <f ca="1">IF(B1="",'数据-汇总表'!E5,IF(INDIRECT("'数据-取费表'!c"&amp;$G$1)="住宅",INDIRECT("'数据-取费表'!k"&amp;$G$1),0))</f>
        <v>#N/A</v>
      </c>
      <c r="E9" s="217">
        <f>'数据-取费表'!B27</f>
        <v>120</v>
      </c>
      <c r="F9" s="213"/>
      <c r="G9" s="1714" t="s">
        <v>4152</v>
      </c>
      <c r="H9" s="1070"/>
      <c r="I9" s="1715" t="s">
        <v>1473</v>
      </c>
    </row>
    <row r="10" spans="1:9" s="206" customFormat="1" ht="13.5" customHeight="1">
      <c r="A10" s="733" t="s">
        <v>356</v>
      </c>
      <c r="B10" s="216" t="s">
        <v>1474</v>
      </c>
      <c r="C10" s="217" t="e">
        <f ca="1">ROUND(D10*E10/10000,0)</f>
        <v>#N/A</v>
      </c>
      <c r="D10" s="795" t="e">
        <f ca="1">IF(B1="",'数据-汇总表'!E6,IF(INDIRECT("'数据-取费表'!c"&amp;$G$1)="住宅",INDIRECT("'数据-取费表'!s"&amp;$G$1),INDIRECT("'数据-取费表'!k"&amp;$G$1)+INDIRECT("'数据-取费表'!s"&amp;$G$1)))</f>
        <v>#N/A</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1471</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1471</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t="e">
        <f ca="1">D9+D10</f>
        <v>#N/A</v>
      </c>
      <c r="E19" s="203">
        <f>'数据-取费表'!B31</f>
        <v>200</v>
      </c>
      <c r="F19" s="223"/>
      <c r="G19" s="1713" t="s">
        <v>4153</v>
      </c>
    </row>
    <row r="20" spans="1:7" s="206" customFormat="1" ht="13.5" customHeight="1">
      <c r="A20" s="247" t="s">
        <v>1487</v>
      </c>
      <c r="B20" s="202" t="s">
        <v>1488</v>
      </c>
      <c r="C20" s="224" t="e">
        <f ca="1">ROUND((C5+C19)*F20,0)</f>
        <v>#N/A</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t="e">
        <f ca="1">ROUND(SUM(C23:C25),0)</f>
        <v>#N/A</v>
      </c>
      <c r="D22" s="227">
        <f ca="1">C26</f>
        <v>1E-3</v>
      </c>
      <c r="E22" s="228" t="s">
        <v>1492</v>
      </c>
      <c r="F22" s="229">
        <f ca="1">'数据-取费表'!B40</f>
        <v>3.4500000000000003E-2</v>
      </c>
      <c r="G22" s="226" t="str">
        <f>IF('数据-取费表'!B22&lt;=1,"单利计息","复利计息")</f>
        <v>复利计息</v>
      </c>
    </row>
    <row r="23" spans="1:7" s="206" customFormat="1" ht="13.5" customHeight="1">
      <c r="A23" s="734" t="s">
        <v>346</v>
      </c>
      <c r="B23" s="207" t="s">
        <v>1497</v>
      </c>
      <c r="C23" s="1042" t="e">
        <f ca="1">ROUND(IF('数据-取费表'!B22&lt;=1,C5*F22*'数据-取费表'!B23,C5*(POWER((1+F22),'数据-取费表'!B23)-1)),0)</f>
        <v>#N/A</v>
      </c>
      <c r="D23" s="230"/>
      <c r="E23" s="230"/>
      <c r="F23" s="231"/>
      <c r="G23" s="232" t="s">
        <v>1498</v>
      </c>
    </row>
    <row r="24" spans="1:7" s="206" customFormat="1" ht="13.5" customHeight="1">
      <c r="A24" s="734" t="s">
        <v>347</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348</v>
      </c>
      <c r="B25" s="207" t="s">
        <v>1503</v>
      </c>
      <c r="C25" s="1042" t="e">
        <f ca="1">ROUND(IF('数据-取费表'!B22&lt;=1,C20*F22*'数据-取费表'!B23/2,C20*(POWER((1+F22),'数据-取费表'!B23/2)-1)),0)</f>
        <v>#N/A</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t="e">
        <f ca="1">C28</f>
        <v>#N/A</v>
      </c>
      <c r="D27" s="227" t="e">
        <f ca="1">C29</f>
        <v>#N/A</v>
      </c>
      <c r="E27" s="228" t="s">
        <v>1492</v>
      </c>
      <c r="F27" s="238" t="e">
        <f ca="1">IF(B1="",'数据-取费表'!Q16,INDIRECT("'数据-取费表'!q"&amp;$G$1))</f>
        <v>#N/A</v>
      </c>
      <c r="G27" s="239" t="s">
        <v>1509</v>
      </c>
    </row>
    <row r="28" spans="1:7" s="206" customFormat="1" ht="13.5" customHeight="1">
      <c r="A28" s="734" t="s">
        <v>346</v>
      </c>
      <c r="B28" s="240" t="s">
        <v>1510</v>
      </c>
      <c r="C28" s="241" t="e">
        <f ca="1">ROUND((C5+C19+C20)*F27*'数据-取费表'!B21/'数据-取费表'!B20,0)</f>
        <v>#N/A</v>
      </c>
      <c r="D28" s="227"/>
      <c r="E28" s="228"/>
      <c r="F28" s="238"/>
      <c r="G28" s="239"/>
    </row>
    <row r="29" spans="1:7" s="206" customFormat="1" ht="13.5" customHeight="1">
      <c r="A29" s="734" t="s">
        <v>347</v>
      </c>
      <c r="B29" s="240" t="s">
        <v>1511</v>
      </c>
      <c r="C29" s="230" t="e">
        <f ca="1">ROUND(C21*F27*'数据-取费表'!B21/'数据-取费表'!B20,4)</f>
        <v>#N/A</v>
      </c>
      <c r="D29" s="227"/>
      <c r="E29" s="228"/>
      <c r="F29" s="238"/>
      <c r="G29" s="239"/>
    </row>
    <row r="30" spans="1:7" s="206" customFormat="1" ht="13.5" customHeight="1">
      <c r="A30" s="247" t="s">
        <v>1512</v>
      </c>
      <c r="B30" s="202" t="s">
        <v>1513</v>
      </c>
      <c r="C30" s="227">
        <f>ROUND(F30/(1+'数据-取费表'!C42),4)</f>
        <v>5.33E-2</v>
      </c>
      <c r="D30" s="228" t="s">
        <v>1492</v>
      </c>
      <c r="E30" s="233"/>
      <c r="F30" s="229">
        <f>'数据-取费表'!B41</f>
        <v>5.6000000000000001E-2</v>
      </c>
      <c r="G30" s="226" t="s">
        <v>1514</v>
      </c>
    </row>
    <row r="31" spans="1:7" ht="16.5" customHeight="1">
      <c r="A31" s="201">
        <v>1</v>
      </c>
      <c r="B31" s="202" t="s">
        <v>1515</v>
      </c>
      <c r="C31" s="3236">
        <v>0</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t="e">
        <f ca="1">SUM(C34:C38)</f>
        <v>#N/A</v>
      </c>
      <c r="D33" s="224"/>
      <c r="E33" s="204"/>
      <c r="F33" s="233"/>
      <c r="G33" s="226"/>
    </row>
    <row r="34" spans="1:7" s="250" customFormat="1" ht="13.5" customHeight="1">
      <c r="A34" s="734" t="s">
        <v>346</v>
      </c>
      <c r="B34" s="207" t="s">
        <v>1519</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1520</v>
      </c>
    </row>
    <row r="35" spans="1:7" ht="13.5" customHeight="1">
      <c r="A35" s="734" t="s">
        <v>351</v>
      </c>
      <c r="B35" s="207" t="s">
        <v>1521</v>
      </c>
      <c r="C35" s="212" t="e">
        <f ca="1">ROUND(C34*F35,0)</f>
        <v>#N/A</v>
      </c>
      <c r="D35" s="212"/>
      <c r="E35" s="212"/>
      <c r="F35" s="251">
        <f>'数据-取费表'!B33</f>
        <v>0.03</v>
      </c>
      <c r="G35" s="211" t="s">
        <v>1522</v>
      </c>
    </row>
    <row r="36" spans="1:7" ht="24">
      <c r="A36" s="734" t="s">
        <v>352</v>
      </c>
      <c r="B36" s="207" t="s">
        <v>1523</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0.1</v>
      </c>
      <c r="G36" s="252" t="s">
        <v>1524</v>
      </c>
    </row>
    <row r="37" spans="1:7" s="250" customFormat="1" ht="13.5" customHeight="1">
      <c r="A37" s="734" t="s">
        <v>353</v>
      </c>
      <c r="B37" s="207" t="s">
        <v>1525</v>
      </c>
      <c r="C37" s="241" t="e">
        <f ca="1">ROUND(E37*D37*F34/10000,0)</f>
        <v>#N/A</v>
      </c>
      <c r="D37" s="209" t="e">
        <f ca="1">D19</f>
        <v>#N/A</v>
      </c>
      <c r="E37" s="241">
        <f>'数据-取费表'!B35</f>
        <v>200</v>
      </c>
      <c r="F37" s="251"/>
      <c r="G37" s="253" t="s">
        <v>1526</v>
      </c>
    </row>
    <row r="38" spans="1:7" ht="13.5" customHeight="1">
      <c r="A38" s="734" t="s">
        <v>354</v>
      </c>
      <c r="B38" s="207" t="s">
        <v>1527</v>
      </c>
      <c r="C38" s="212" t="e">
        <f ca="1">ROUND(C34*F38,0)</f>
        <v>#N/A</v>
      </c>
      <c r="D38" s="212"/>
      <c r="E38" s="212"/>
      <c r="F38" s="251">
        <f>'数据-取费表'!B36</f>
        <v>1.4999999999999999E-2</v>
      </c>
      <c r="G38" s="211" t="s">
        <v>1522</v>
      </c>
    </row>
    <row r="39" spans="1:7" s="206" customFormat="1" ht="13.5" customHeight="1">
      <c r="A39" s="247" t="s">
        <v>1485</v>
      </c>
      <c r="B39" s="202" t="s">
        <v>1488</v>
      </c>
      <c r="C39" s="224" t="e">
        <f ca="1">ROUND(C33*F20,0)</f>
        <v>#N/A</v>
      </c>
      <c r="D39" s="224"/>
      <c r="E39" s="224"/>
      <c r="F39" s="225">
        <f>F20</f>
        <v>0.03</v>
      </c>
      <c r="G39" s="226" t="s">
        <v>1530</v>
      </c>
    </row>
    <row r="40" spans="1:7" s="206" customFormat="1" ht="13.5" customHeight="1">
      <c r="A40" s="247" t="s">
        <v>1487</v>
      </c>
      <c r="B40" s="202" t="s">
        <v>1491</v>
      </c>
      <c r="C40" s="227">
        <f>F21</f>
        <v>0.03</v>
      </c>
      <c r="D40" s="228" t="s">
        <v>1533</v>
      </c>
      <c r="E40" s="224"/>
      <c r="F40" s="225">
        <f>F21</f>
        <v>0.03</v>
      </c>
      <c r="G40" s="226" t="s">
        <v>1534</v>
      </c>
    </row>
    <row r="41" spans="1:7" s="206" customFormat="1" ht="13.5" customHeight="1">
      <c r="A41" s="247" t="s">
        <v>1490</v>
      </c>
      <c r="B41" s="202" t="s">
        <v>1495</v>
      </c>
      <c r="C41" s="224" t="e">
        <f ca="1">ROUND(SUM(C42:C43),0)</f>
        <v>#N/A</v>
      </c>
      <c r="D41" s="227">
        <f ca="1">C44</f>
        <v>1E-3</v>
      </c>
      <c r="E41" s="228" t="s">
        <v>1533</v>
      </c>
      <c r="F41" s="229">
        <f ca="1">F22</f>
        <v>3.4500000000000003E-2</v>
      </c>
      <c r="G41" s="226" t="str">
        <f>IF('数据-取费表'!B22&lt;=1,"单利计息","复利计息")</f>
        <v>复利计息</v>
      </c>
    </row>
    <row r="42" spans="1:7" ht="13.5" customHeight="1">
      <c r="A42" s="734" t="s">
        <v>346</v>
      </c>
      <c r="B42" s="207" t="s">
        <v>1497</v>
      </c>
      <c r="C42" s="230" t="e">
        <f ca="1">ROUND(IF('数据-取费表'!B22&lt;=1,C33*F22*'数据-取费表'!B21/2,C33*(POWER((1+F22),'数据-取费表'!B21/2)-1)),0)</f>
        <v>#N/A</v>
      </c>
      <c r="D42" s="230"/>
      <c r="E42" s="230"/>
      <c r="F42" s="231"/>
      <c r="G42" s="3504" t="s">
        <v>1538</v>
      </c>
    </row>
    <row r="43" spans="1:7" ht="13.5" customHeight="1">
      <c r="A43" s="734" t="s">
        <v>347</v>
      </c>
      <c r="B43" s="207" t="s">
        <v>1500</v>
      </c>
      <c r="C43" s="230" t="e">
        <f ca="1">ROUND(IF('数据-取费表'!B22&lt;=1,C39*F22*'数据-取费表'!B21/2,C39*(POWER((1+F22),'数据-取费表'!B21/2)-1)),0)</f>
        <v>#N/A</v>
      </c>
      <c r="D43" s="230"/>
      <c r="E43" s="230"/>
      <c r="F43" s="231"/>
      <c r="G43" s="3505"/>
    </row>
    <row r="44" spans="1:7" ht="13.5" customHeight="1">
      <c r="A44" s="734" t="s">
        <v>348</v>
      </c>
      <c r="B44" s="207" t="s">
        <v>1503</v>
      </c>
      <c r="C44" s="230">
        <f ca="1">ROUND(IF('数据-取费表'!B22&lt;=1,C40*F22*'数据-取费表'!B21/2,C40*(POWER((1+F22),'数据-取费表'!B21/2)-1)),4)</f>
        <v>1E-3</v>
      </c>
      <c r="D44" s="230"/>
      <c r="E44" s="230"/>
      <c r="F44" s="231"/>
      <c r="G44" s="3506"/>
    </row>
    <row r="45" spans="1:7" s="206" customFormat="1" ht="13.5" customHeight="1">
      <c r="A45" s="247" t="s">
        <v>1494</v>
      </c>
      <c r="B45" s="236" t="s">
        <v>1507</v>
      </c>
      <c r="C45" s="237" t="e">
        <f ca="1">C46</f>
        <v>#N/A</v>
      </c>
      <c r="D45" s="227" t="e">
        <f ca="1">C47</f>
        <v>#N/A</v>
      </c>
      <c r="E45" s="228" t="s">
        <v>1533</v>
      </c>
      <c r="F45" s="238" t="e">
        <f ca="1">F27</f>
        <v>#N/A</v>
      </c>
      <c r="G45" s="239" t="s">
        <v>1542</v>
      </c>
    </row>
    <row r="46" spans="1:7" s="206" customFormat="1" ht="13.5" customHeight="1">
      <c r="A46" s="734" t="s">
        <v>346</v>
      </c>
      <c r="B46" s="240" t="s">
        <v>1543</v>
      </c>
      <c r="C46" s="241" t="e">
        <f ca="1">ROUND((C33+C39)*F27,0)</f>
        <v>#N/A</v>
      </c>
      <c r="D46" s="255"/>
      <c r="E46" s="228"/>
      <c r="F46" s="238"/>
      <c r="G46" s="239"/>
    </row>
    <row r="47" spans="1:7" s="206" customFormat="1" ht="13.5" customHeight="1">
      <c r="A47" s="734" t="s">
        <v>347</v>
      </c>
      <c r="B47" s="240" t="s">
        <v>1544</v>
      </c>
      <c r="C47" s="230" t="e">
        <f ca="1">ROUND(C40*F27,4)</f>
        <v>#N/A</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t="e">
        <f ca="1">ROUND((C33+C39+C41+C45)/(1-C40-D41-D45-C48),0)</f>
        <v>#N/A</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t="e">
        <f ca="1">ROUND(C49*F50,0)</f>
        <v>#N/A</v>
      </c>
      <c r="D51" s="224"/>
      <c r="E51" s="224"/>
      <c r="F51" s="256"/>
      <c r="G51" s="226" t="s">
        <v>1554</v>
      </c>
    </row>
    <row r="52" spans="1:7" s="200" customFormat="1" ht="16.5" thickBot="1">
      <c r="A52" s="257" t="s">
        <v>1555</v>
      </c>
      <c r="B52" s="258"/>
      <c r="C52" s="259" t="e">
        <f ca="1">C31+C51</f>
        <v>#N/A</v>
      </c>
      <c r="D52" s="258"/>
      <c r="E52" s="258"/>
      <c r="F52" s="258"/>
      <c r="G52" s="260"/>
    </row>
    <row r="55" spans="1:7" ht="15">
      <c r="B55" s="262" t="s">
        <v>1556</v>
      </c>
      <c r="C55" s="263"/>
    </row>
    <row r="56" spans="1:7">
      <c r="B56" s="265" t="s">
        <v>796</v>
      </c>
      <c r="C56" s="267" t="e">
        <f ca="1">1-C57</f>
        <v>#N/A</v>
      </c>
    </row>
    <row r="57" spans="1:7">
      <c r="B57" s="265" t="s">
        <v>797</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7" sqref="G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4147</v>
      </c>
      <c r="D1" s="1270" t="s">
        <v>43</v>
      </c>
      <c r="E1" s="1271" t="s">
        <v>672</v>
      </c>
      <c r="F1" s="999" t="e">
        <f ca="1">J53</f>
        <v>#N/A</v>
      </c>
      <c r="G1" s="1285" t="e">
        <f>MATCH(C1,'数据-取费表'!A6:A16,0)+5</f>
        <v>#N/A</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t="e">
        <f ca="1">C40+J29+L46</f>
        <v>#N/A</v>
      </c>
      <c r="C2" s="1288" t="s">
        <v>799</v>
      </c>
      <c r="D2" s="1288"/>
      <c r="E2" s="1294"/>
      <c r="F2" s="1295"/>
      <c r="G2" s="2473"/>
      <c r="H2" s="2463"/>
      <c r="I2" s="2463"/>
      <c r="J2" s="2463"/>
      <c r="K2" s="2464"/>
      <c r="L2" s="2463"/>
      <c r="M2" s="2463"/>
    </row>
    <row r="3" spans="1:37" ht="18" customHeight="1" thickBot="1">
      <c r="A3" s="1296" t="s">
        <v>800</v>
      </c>
      <c r="B3" s="1297">
        <f ca="1">IF(ISERROR(B2*10000/F43),0,ROUND(B2*10000/F43,0))</f>
        <v>0</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t="e">
        <f ca="1">C6+C10+C12</f>
        <v>#N/A</v>
      </c>
      <c r="D5" s="1272" t="s">
        <v>687</v>
      </c>
      <c r="E5" s="1008"/>
      <c r="F5" s="1009"/>
      <c r="G5" s="1291"/>
      <c r="H5" s="291">
        <v>1</v>
      </c>
      <c r="I5" s="292" t="s">
        <v>686</v>
      </c>
      <c r="J5" s="1007" t="e">
        <f ca="1">J6+J10+J12</f>
        <v>#N/A</v>
      </c>
      <c r="K5" s="1272" t="s">
        <v>687</v>
      </c>
      <c r="L5" s="1008"/>
      <c r="M5" s="1009"/>
    </row>
    <row r="6" spans="1:37" ht="18" customHeight="1">
      <c r="A6" s="1006" t="s">
        <v>398</v>
      </c>
      <c r="B6" s="3515" t="s">
        <v>688</v>
      </c>
      <c r="C6" s="1011" t="e">
        <f ca="1">ROUND(F6*F8*F7*(1-F9)/10000,0)</f>
        <v>#N/A</v>
      </c>
      <c r="D6" s="147" t="s">
        <v>2103</v>
      </c>
      <c r="E6" s="294" t="s">
        <v>690</v>
      </c>
      <c r="F6" s="295" t="e">
        <f ca="1">INDIRECT("'数据-取费表'!u"&amp;$G$1)</f>
        <v>#N/A</v>
      </c>
      <c r="G6" s="1291"/>
      <c r="H6" s="1006" t="s">
        <v>398</v>
      </c>
      <c r="I6" s="3515" t="s">
        <v>688</v>
      </c>
      <c r="J6" s="293" t="e">
        <f ca="1">ROUND(M6*M8*M7*(1-M9)/10000,0)</f>
        <v>#N/A</v>
      </c>
      <c r="K6" s="147" t="s">
        <v>2102</v>
      </c>
      <c r="L6" s="294" t="s">
        <v>690</v>
      </c>
      <c r="M6" s="295" t="e">
        <f ca="1">INDIRECT("'数据-取费表'!z"&amp;$G$1)</f>
        <v>#N/A</v>
      </c>
    </row>
    <row r="7" spans="1:37" ht="18" customHeight="1">
      <c r="A7" s="1010"/>
      <c r="B7" s="3516"/>
      <c r="C7" s="1012"/>
      <c r="D7" s="299"/>
      <c r="E7" s="1013" t="s">
        <v>691</v>
      </c>
      <c r="F7" s="295" t="e">
        <f ca="1">IF(INDIRECT("'数据-取费表'!ah"&amp;$G$1)="",INDIRECT("'数据-取费表'!k"&amp;$G$1),INDIRECT("'数据-取费表'!ah"&amp;$G$1))</f>
        <v>#N/A</v>
      </c>
      <c r="G7" s="1291"/>
      <c r="H7" s="296"/>
      <c r="I7" s="3516"/>
      <c r="J7" s="298"/>
      <c r="K7" s="299"/>
      <c r="L7" s="294" t="s">
        <v>691</v>
      </c>
      <c r="M7" s="295" t="e">
        <f ca="1">F7</f>
        <v>#N/A</v>
      </c>
    </row>
    <row r="8" spans="1:37" ht="18" customHeight="1">
      <c r="A8" s="296"/>
      <c r="B8" s="3516"/>
      <c r="C8" s="298"/>
      <c r="D8" s="299"/>
      <c r="E8" s="294" t="s">
        <v>692</v>
      </c>
      <c r="F8" s="295" t="e">
        <f ca="1">INDIRECT("'数据-取费表'!ai"&amp;$G$1)</f>
        <v>#N/A</v>
      </c>
      <c r="G8" s="1291"/>
      <c r="H8" s="296"/>
      <c r="I8" s="3516"/>
      <c r="J8" s="298"/>
      <c r="K8" s="299"/>
      <c r="L8" s="294" t="s">
        <v>692</v>
      </c>
      <c r="M8" s="295" t="e">
        <f ca="1">INDIRECT("'数据-取费表'!ai"&amp;$G$1)</f>
        <v>#N/A</v>
      </c>
    </row>
    <row r="9" spans="1:37" ht="18" customHeight="1">
      <c r="A9" s="296"/>
      <c r="B9" s="3517"/>
      <c r="C9" s="298"/>
      <c r="D9" s="299"/>
      <c r="E9" s="294" t="s">
        <v>693</v>
      </c>
      <c r="F9" s="304" t="e">
        <f ca="1">INDIRECT("'数据-取费表'!w"&amp;$G$1)</f>
        <v>#N/A</v>
      </c>
      <c r="G9" s="1291"/>
      <c r="H9" s="296"/>
      <c r="I9" s="3517"/>
      <c r="J9" s="298"/>
      <c r="K9" s="299"/>
      <c r="L9" s="305" t="s">
        <v>693</v>
      </c>
      <c r="M9" s="306" t="e">
        <f ca="1">INDIRECT("'数据-取费表'!ab"&amp;$G$1)</f>
        <v>#N/A</v>
      </c>
    </row>
    <row r="10" spans="1:37" ht="18" customHeight="1">
      <c r="A10" s="1006" t="s">
        <v>402</v>
      </c>
      <c r="B10" s="1273" t="s">
        <v>694</v>
      </c>
      <c r="C10" s="308" t="e">
        <f ca="1">ROUND(IF(F10="押一",C6/12*F11,IF(F10="押二",C6/12*2*F11,IF(F10="押三",C6/12*3*F11,C11*F11))),0)</f>
        <v>#N/A</v>
      </c>
      <c r="D10" s="150" t="s">
        <v>2110</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t="e">
        <f ca="1">ROUND(C29*F13,0)</f>
        <v>#N/A</v>
      </c>
      <c r="D13" s="1018" t="s">
        <v>699</v>
      </c>
      <c r="E13" s="1018" t="s">
        <v>700</v>
      </c>
      <c r="F13" s="1019" t="e">
        <f ca="1">INDIRECT("'数据-取费表'!y"&amp;$G$1)</f>
        <v>#N/A</v>
      </c>
      <c r="G13" s="1291"/>
      <c r="H13" s="1016">
        <v>2</v>
      </c>
      <c r="I13" s="1017" t="s">
        <v>698</v>
      </c>
      <c r="J13" s="1005" t="e">
        <f ca="1">ROUND(J14*J15,0)</f>
        <v>#N/A</v>
      </c>
      <c r="K13" s="1024" t="s">
        <v>699</v>
      </c>
      <c r="L13" s="1298"/>
      <c r="M13" s="1299"/>
    </row>
    <row r="14" spans="1:37" ht="18" customHeight="1">
      <c r="A14" s="928" t="s">
        <v>397</v>
      </c>
      <c r="B14" s="294" t="s">
        <v>701</v>
      </c>
      <c r="C14" s="310" t="e">
        <f ca="1">INDIRECT("'数据-取费表'!m"&amp;$G$1)+INDIRECT("'数据-取费表'!t"&amp;$G$1)</f>
        <v>#N/A</v>
      </c>
      <c r="D14" s="1256" t="s">
        <v>702</v>
      </c>
      <c r="E14" s="1254"/>
      <c r="F14" s="311"/>
      <c r="G14" s="1291"/>
      <c r="H14" s="928" t="s">
        <v>398</v>
      </c>
      <c r="I14" s="294" t="s">
        <v>703</v>
      </c>
      <c r="J14" s="21" t="e">
        <f ca="1">C29</f>
        <v>#N/A</v>
      </c>
      <c r="K14" s="12"/>
      <c r="L14" s="759"/>
      <c r="M14" s="760"/>
    </row>
    <row r="15" spans="1:37" s="1303" customFormat="1" ht="18" customHeight="1" thickBot="1">
      <c r="A15" s="928" t="s">
        <v>399</v>
      </c>
      <c r="B15" s="294" t="s">
        <v>704</v>
      </c>
      <c r="C15" s="21" t="e">
        <f ca="1">ROUND(C14*F15,0)</f>
        <v>#N/A</v>
      </c>
      <c r="D15" s="312" t="s">
        <v>705</v>
      </c>
      <c r="E15" s="312" t="s">
        <v>706</v>
      </c>
      <c r="F15" s="313">
        <f>'数据-取费表'!B33</f>
        <v>0.03</v>
      </c>
      <c r="G15" s="1302"/>
      <c r="H15" s="1026" t="s">
        <v>402</v>
      </c>
      <c r="I15" s="1027" t="s">
        <v>700</v>
      </c>
      <c r="J15" s="1036" t="e">
        <f ca="1">INDIRECT("'数据-取费表'!ad"&amp;$G$1)</f>
        <v>#N/A</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t="e">
        <f ca="1">ROUND(INDIRECT("'数据-取费表'!m"&amp;$G$1)*F16,0)</f>
        <v>#N/A</v>
      </c>
      <c r="D16" s="294" t="s">
        <v>705</v>
      </c>
      <c r="E16" s="294" t="s">
        <v>706</v>
      </c>
      <c r="F16" s="314" t="e">
        <f ca="1">IF(INDIRECT("'数据-取费表'!c"&amp;$G$1)="住宅",'数据-取费表'!B34,0)</f>
        <v>#N/A</v>
      </c>
      <c r="G16" s="1291"/>
      <c r="H16" s="1016" t="s">
        <v>393</v>
      </c>
      <c r="I16" s="1017" t="s">
        <v>708</v>
      </c>
      <c r="J16" s="302" t="e">
        <f ca="1">ROUND(J17+J22+J23+J24,0)</f>
        <v>#N/A</v>
      </c>
      <c r="K16" s="1024" t="s">
        <v>709</v>
      </c>
      <c r="L16" s="1025"/>
      <c r="M16" s="1009"/>
    </row>
    <row r="17" spans="1:37" s="1303" customFormat="1" ht="18" customHeight="1">
      <c r="A17" s="928" t="s">
        <v>675</v>
      </c>
      <c r="B17" s="294" t="s">
        <v>710</v>
      </c>
      <c r="C17" s="21" t="e">
        <f ca="1">ROUND(F17*(F43+INDIRECT("'数据-取费表'!S"&amp;$G$1))/10000,0)</f>
        <v>#N/A</v>
      </c>
      <c r="D17" s="294" t="s">
        <v>711</v>
      </c>
      <c r="E17" s="294" t="s">
        <v>712</v>
      </c>
      <c r="F17" s="23">
        <f>'数据-取费表'!B35</f>
        <v>200</v>
      </c>
      <c r="G17" s="1302"/>
      <c r="H17" s="928" t="s">
        <v>398</v>
      </c>
      <c r="I17" s="294" t="s">
        <v>713</v>
      </c>
      <c r="J17" s="2136" t="e">
        <f ca="1">ROUND(IF(AND(项目基本情况!B11="自然人",项目基本情况!B10="北京市"),J6*M17/(1+'数据-取费表'!C42),J18+J19+J20),2)</f>
        <v>#N/A</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t="e">
        <f ca="1">ROUND(C14*F18,0)</f>
        <v>#N/A</v>
      </c>
      <c r="D18" s="294" t="s">
        <v>705</v>
      </c>
      <c r="E18" s="294" t="s">
        <v>706</v>
      </c>
      <c r="F18" s="314">
        <f>'数据-取费表'!B36</f>
        <v>1.4999999999999999E-2</v>
      </c>
      <c r="G18" s="1302"/>
      <c r="H18" s="928" t="s">
        <v>397</v>
      </c>
      <c r="I18" s="294" t="s">
        <v>717</v>
      </c>
      <c r="J18" s="21" t="e">
        <f ca="1">ROUND(J6*M18/(1+'数据-取费表'!C42),2)</f>
        <v>#N/A</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t="e">
        <f ca="1">SUM(C14:C18)</f>
        <v>#N/A</v>
      </c>
      <c r="D19" s="123" t="s">
        <v>720</v>
      </c>
      <c r="E19" s="1268"/>
      <c r="F19" s="23"/>
      <c r="G19" s="1291"/>
      <c r="H19" s="928" t="s">
        <v>399</v>
      </c>
      <c r="I19" s="294" t="s">
        <v>721</v>
      </c>
      <c r="J19" s="21" t="e">
        <f ca="1">IF(K19="按租金收入计税",ROUND(J6*M19/(1+'数据-取费表'!C42),2),ROUND(C29*M19*0.7,2))</f>
        <v>#N/A</v>
      </c>
      <c r="K19" s="1277" t="s">
        <v>3334</v>
      </c>
      <c r="L19" s="294" t="s">
        <v>706</v>
      </c>
      <c r="M19" s="314">
        <f>IF(K19="按租金收入计税",'数据-取费表'!B51,'数据-取费表'!B50)</f>
        <v>0.12</v>
      </c>
    </row>
    <row r="20" spans="1:37" s="1303" customFormat="1" ht="18" customHeight="1">
      <c r="A20" s="928" t="s">
        <v>402</v>
      </c>
      <c r="B20" s="294" t="s">
        <v>722</v>
      </c>
      <c r="C20" s="21" t="e">
        <f ca="1">ROUND(C19*F20,0)</f>
        <v>#N/A</v>
      </c>
      <c r="D20" s="315" t="s">
        <v>723</v>
      </c>
      <c r="E20" s="294" t="s">
        <v>706</v>
      </c>
      <c r="F20" s="314">
        <f>'数据-取费表'!B37</f>
        <v>0.03</v>
      </c>
      <c r="G20" s="1302"/>
      <c r="H20" s="928" t="s">
        <v>674</v>
      </c>
      <c r="I20" s="147" t="s">
        <v>724</v>
      </c>
      <c r="J20" s="22" t="e">
        <f ca="1">ROUND(M20*M21/10000,2)</f>
        <v>#N/A</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t="e">
        <f ca="1">ROUND(J14*M22,2)</f>
        <v>#N/A</v>
      </c>
      <c r="K22" s="1255" t="s">
        <v>733</v>
      </c>
      <c r="L22" s="294" t="s">
        <v>706</v>
      </c>
      <c r="M22" s="320" t="e">
        <f ca="1">INDIRECT("'数据-取费表'!Ak"&amp;$G$1)</f>
        <v>#N/A</v>
      </c>
    </row>
    <row r="23" spans="1:37" s="1303" customFormat="1" ht="18" customHeight="1">
      <c r="A23" s="928" t="s">
        <v>397</v>
      </c>
      <c r="B23" s="294" t="s">
        <v>734</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t="e">
        <f ca="1">ROUND(J13*M23,2)</f>
        <v>#N/A</v>
      </c>
      <c r="K23" s="1255" t="s">
        <v>737</v>
      </c>
      <c r="L23" s="294" t="s">
        <v>706</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677</v>
      </c>
      <c r="I24" s="1027" t="s">
        <v>722</v>
      </c>
      <c r="J24" s="1028" t="e">
        <f ca="1">ROUND(J5*M24,2)</f>
        <v>#N/A</v>
      </c>
      <c r="K24" s="1029" t="s">
        <v>742</v>
      </c>
      <c r="L24" s="1027" t="s">
        <v>706</v>
      </c>
      <c r="M24" s="1023"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t="e">
        <f ca="1">J5-J16</f>
        <v>#N/A</v>
      </c>
      <c r="K25" s="1032" t="s">
        <v>747</v>
      </c>
      <c r="L25" s="1033"/>
      <c r="M25" s="1034"/>
    </row>
    <row r="26" spans="1:37">
      <c r="A26" s="928" t="s">
        <v>397</v>
      </c>
      <c r="B26" s="294" t="s">
        <v>748</v>
      </c>
      <c r="C26" s="21" t="e">
        <f ca="1">ROUND((C19+C20)*F26,0)</f>
        <v>#N/A</v>
      </c>
      <c r="D26" s="315" t="s">
        <v>749</v>
      </c>
      <c r="E26" s="305" t="s">
        <v>750</v>
      </c>
      <c r="F26" s="304" t="e">
        <f ca="1">INDIRECT("'数据-取费表'!q"&amp;$G$1)</f>
        <v>#N/A</v>
      </c>
      <c r="G26" s="1291"/>
      <c r="H26" s="291" t="s">
        <v>395</v>
      </c>
      <c r="I26" s="292" t="s">
        <v>751</v>
      </c>
      <c r="J26" s="293" t="e">
        <f ca="1">IF(J5&lt;&gt;0,ROUND(J25*(1-((1+M28)/(1+M26))^M27)/(M26-M28),0),0)</f>
        <v>#N/A</v>
      </c>
      <c r="K26" s="316" t="s">
        <v>752</v>
      </c>
      <c r="L26" s="294" t="s">
        <v>753</v>
      </c>
      <c r="M26" s="304" t="e">
        <f ca="1">INDIRECT("'数据-取费表'!I"&amp;$G$1)</f>
        <v>#N/A</v>
      </c>
    </row>
    <row r="27" spans="1:37" ht="18" customHeight="1">
      <c r="A27" s="928" t="s">
        <v>399</v>
      </c>
      <c r="B27" s="294" t="s">
        <v>754</v>
      </c>
      <c r="C27" s="21" t="e">
        <f ca="1">ROUND(F21*F26,4)</f>
        <v>#N/A</v>
      </c>
      <c r="D27" s="315" t="s">
        <v>755</v>
      </c>
      <c r="E27" s="312"/>
      <c r="F27" s="313"/>
      <c r="G27" s="1291"/>
      <c r="H27" s="296"/>
      <c r="I27" s="297"/>
      <c r="J27" s="298"/>
      <c r="K27" s="323" t="s">
        <v>756</v>
      </c>
      <c r="L27" s="294" t="s">
        <v>757</v>
      </c>
      <c r="M27" s="324" t="e">
        <f ca="1">INDIRECT("'数据-取费表'!ag"&amp;$G$1)</f>
        <v>#N/A</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t="e">
        <f ca="1">ROUND((C19+C20+C23+C26)/(1-F21-C24-C27-C28),0)</f>
        <v>#N/A</v>
      </c>
      <c r="D29" s="1029"/>
      <c r="E29" s="1027"/>
      <c r="F29" s="1030"/>
      <c r="G29" s="1302"/>
      <c r="H29" s="325" t="s">
        <v>396</v>
      </c>
      <c r="I29" s="326" t="s">
        <v>762</v>
      </c>
      <c r="J29" s="327" t="e">
        <f ca="1">ROUND(J26/(1+F40)^F41,0)</f>
        <v>#N/A</v>
      </c>
      <c r="K29" s="328" t="s">
        <v>763</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t="e">
        <f ca="1">ROUND(C31+C36+C37+C38,0)</f>
        <v>#N/A</v>
      </c>
      <c r="D30" s="1024" t="s">
        <v>709</v>
      </c>
      <c r="E30" s="1025"/>
      <c r="F30" s="1009"/>
      <c r="G30" s="1291"/>
      <c r="H30" s="2465"/>
      <c r="I30" s="1304"/>
      <c r="J30" s="1305"/>
      <c r="K30" s="121"/>
      <c r="L30" s="2466"/>
      <c r="M30" s="2467"/>
    </row>
    <row r="31" spans="1:37" ht="18" customHeight="1">
      <c r="A31" s="928" t="s">
        <v>398</v>
      </c>
      <c r="B31" s="294" t="s">
        <v>713</v>
      </c>
      <c r="C31" s="2136" t="e">
        <f ca="1">ROUND(IF(AND(项目基本情况!B11="自然人",项目基本情况!B10="北京市"),C6*F31/(1+'数据-取费表'!C42),C32+C33+C34),2)</f>
        <v>#N/A</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t="e">
        <f ca="1">IF(项目基本情况!B11="自然人","——",ROUND(C6*F32/(1+'数据-取费表'!C42),2))</f>
        <v>#N/A</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t="e">
        <f ca="1">IF(项目基本情况!B11="自然人","——",IF(D33="按租金收入计税",ROUND(C6*F33/(1+'数据-取费表'!C42),2),IF(D33="按房产原值计税",ROUND(C29*F33*0.7,2),INDIRECT("'数据-取费表'!Aj"&amp;$G$1))))</f>
        <v>#N/A</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t="e">
        <f ca="1">IF(项目基本情况!B11="自然人","——",ROUND(F34*F35/10000,2))</f>
        <v>#N/A</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t="e">
        <f ca="1">INDIRECT("'数据-取费表'!r"&amp;$G$1)</f>
        <v>#N/A</v>
      </c>
      <c r="G35" s="1291"/>
      <c r="H35" s="2465"/>
      <c r="I35" s="1304"/>
      <c r="J35" s="1305"/>
      <c r="K35" s="2469"/>
      <c r="L35" s="2468"/>
      <c r="M35" s="2468"/>
    </row>
    <row r="36" spans="1:18" ht="18" customHeight="1">
      <c r="A36" s="1039" t="s">
        <v>402</v>
      </c>
      <c r="B36" s="294" t="s">
        <v>732</v>
      </c>
      <c r="C36" s="21" t="e">
        <f ca="1">ROUND(C29*F36,2)</f>
        <v>#N/A</v>
      </c>
      <c r="D36" s="1255" t="s">
        <v>765</v>
      </c>
      <c r="E36" s="294" t="s">
        <v>706</v>
      </c>
      <c r="F36" s="320" t="e">
        <f ca="1">INDIRECT("'数据-取费表'!Ak"&amp;$G$1)</f>
        <v>#N/A</v>
      </c>
      <c r="G36" s="1291"/>
      <c r="H36" s="2468"/>
      <c r="I36" s="1304"/>
      <c r="J36" s="1305"/>
      <c r="K36" s="2326"/>
      <c r="L36" s="2468"/>
      <c r="M36" s="2468"/>
    </row>
    <row r="37" spans="1:18" ht="18" customHeight="1">
      <c r="A37" s="928" t="s">
        <v>437</v>
      </c>
      <c r="B37" s="294" t="s">
        <v>736</v>
      </c>
      <c r="C37" s="21" t="e">
        <f ca="1">ROUND(C13*F37,2)</f>
        <v>#N/A</v>
      </c>
      <c r="D37" s="1255" t="s">
        <v>737</v>
      </c>
      <c r="E37" s="294" t="s">
        <v>706</v>
      </c>
      <c r="F37" s="321" t="e">
        <f ca="1">INDIRECT("'数据-取费表'!Al"&amp;$G$1)</f>
        <v>#N/A</v>
      </c>
      <c r="G37" s="1291"/>
      <c r="H37" s="2468"/>
      <c r="I37" s="1304"/>
      <c r="J37" s="1305"/>
      <c r="K37" s="2326"/>
      <c r="L37" s="2468"/>
      <c r="M37" s="2468"/>
    </row>
    <row r="38" spans="1:18" ht="18" customHeight="1" thickBot="1">
      <c r="A38" s="1026" t="s">
        <v>677</v>
      </c>
      <c r="B38" s="1027" t="s">
        <v>722</v>
      </c>
      <c r="C38" s="1028" t="e">
        <f ca="1">ROUND(C5*F38,2)</f>
        <v>#N/A</v>
      </c>
      <c r="D38" s="1029" t="s">
        <v>742</v>
      </c>
      <c r="E38" s="1027" t="s">
        <v>706</v>
      </c>
      <c r="F38" s="1023" t="e">
        <f ca="1">INDIRECT("'数据-取费表'!Am"&amp;$G$1)</f>
        <v>#N/A</v>
      </c>
      <c r="G38" s="1291"/>
      <c r="H38" s="2468"/>
      <c r="I38" s="1304"/>
      <c r="J38" s="1305"/>
      <c r="K38" s="2466"/>
      <c r="L38" s="2468"/>
      <c r="M38" s="2468"/>
    </row>
    <row r="39" spans="1:18" ht="24.6" customHeight="1" thickTop="1">
      <c r="A39" s="1016" t="s">
        <v>394</v>
      </c>
      <c r="B39" s="1031" t="s">
        <v>746</v>
      </c>
      <c r="C39" s="302" t="e">
        <f ca="1">C5-C30</f>
        <v>#N/A</v>
      </c>
      <c r="D39" s="1032" t="s">
        <v>747</v>
      </c>
      <c r="E39" s="1033"/>
      <c r="F39" s="1034"/>
      <c r="G39" s="1291"/>
      <c r="H39" s="2468"/>
      <c r="I39" s="1304"/>
      <c r="J39" s="1305"/>
      <c r="K39" s="2466"/>
      <c r="L39" s="2468"/>
      <c r="M39" s="2468"/>
    </row>
    <row r="40" spans="1:18" ht="18" customHeight="1">
      <c r="A40" s="291" t="s">
        <v>395</v>
      </c>
      <c r="B40" s="292" t="s">
        <v>768</v>
      </c>
      <c r="C40" s="293" t="e">
        <f ca="1">ROUND(C39*(1-((1+F42)/(1+F40))^F41)/(F40-F42),0)</f>
        <v>#N/A</v>
      </c>
      <c r="D40" s="316" t="s">
        <v>752</v>
      </c>
      <c r="E40" s="294" t="s">
        <v>753</v>
      </c>
      <c r="F40" s="304" t="e">
        <f ca="1">INDIRECT("'数据-取费表'!I"&amp;$G$1)</f>
        <v>#N/A</v>
      </c>
      <c r="G40" s="1291"/>
      <c r="H40" s="1365"/>
      <c r="I40" s="1304"/>
      <c r="J40" s="1305"/>
      <c r="K40" s="2466"/>
      <c r="L40" s="1365"/>
      <c r="M40" s="1365"/>
    </row>
    <row r="41" spans="1:18" ht="18" customHeight="1">
      <c r="A41" s="296"/>
      <c r="B41" s="297"/>
      <c r="C41" s="298"/>
      <c r="D41" s="323" t="s">
        <v>769</v>
      </c>
      <c r="E41" s="294" t="s">
        <v>757</v>
      </c>
      <c r="F41" s="324" t="e">
        <f ca="1">IF(INDIRECT("'数据-取费表'!af"&amp;$G$1)=0,INDIRECT("'数据-取费表'!ae"&amp;$G$1),INDIRECT("'数据-取费表'!af"&amp;$G$1))</f>
        <v>#N/A</v>
      </c>
      <c r="G41" s="1291"/>
      <c r="H41" s="121"/>
      <c r="I41" s="1304"/>
      <c r="J41" s="1305"/>
      <c r="K41" s="2326"/>
      <c r="L41" s="121"/>
      <c r="M41" s="121"/>
    </row>
    <row r="42" spans="1:18" ht="18" customHeight="1">
      <c r="A42" s="300"/>
      <c r="B42" s="301"/>
      <c r="C42" s="302"/>
      <c r="D42" s="319"/>
      <c r="E42" s="294" t="s">
        <v>760</v>
      </c>
      <c r="F42" s="304" t="e">
        <f ca="1">INDIRECT("'数据-取费表'!v"&amp;$G$1)</f>
        <v>#N/A</v>
      </c>
      <c r="G42" s="1291"/>
      <c r="H42" s="121"/>
      <c r="I42" s="1304"/>
      <c r="J42" s="1305"/>
      <c r="K42" s="2326"/>
      <c r="L42" s="121"/>
      <c r="M42" s="121"/>
    </row>
    <row r="43" spans="1:18" ht="18" customHeight="1" thickBot="1">
      <c r="A43" s="325" t="s">
        <v>396</v>
      </c>
      <c r="B43" s="326" t="s">
        <v>770</v>
      </c>
      <c r="C43" s="327" t="e">
        <f ca="1">ROUND(C40*10000/F43,0)</f>
        <v>#N/A</v>
      </c>
      <c r="D43" s="328" t="s">
        <v>771</v>
      </c>
      <c r="E43" s="329" t="s">
        <v>772</v>
      </c>
      <c r="F43" s="330" t="e">
        <f ca="1">INDIRECT("'数据-取费表'!k"&amp;$G$1)</f>
        <v>#N/A</v>
      </c>
      <c r="G43" s="1291"/>
      <c r="H43" s="121" t="e">
        <f ca="1">F43/25</f>
        <v>#N/A</v>
      </c>
      <c r="I43" s="121"/>
      <c r="J43" s="121"/>
      <c r="K43" s="2326"/>
      <c r="L43" s="121"/>
      <c r="M43" s="121"/>
    </row>
    <row r="44" spans="1:18" s="1291" customFormat="1" ht="18" customHeight="1">
      <c r="A44" s="1306"/>
      <c r="B44" s="1306"/>
      <c r="C44" s="1307"/>
      <c r="D44" s="1306"/>
      <c r="E44" s="1306"/>
      <c r="F44" s="1306"/>
      <c r="H44" s="1291" t="e">
        <f ca="1">C40/H43</f>
        <v>#N/A</v>
      </c>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t="e">
        <f ca="1">C68-C40</f>
        <v>#N/A</v>
      </c>
      <c r="D46" s="1312" t="str">
        <f>C2</f>
        <v>万元</v>
      </c>
      <c r="E46" s="1306"/>
      <c r="F46" s="1306"/>
      <c r="I46" s="1313" t="s">
        <v>804</v>
      </c>
      <c r="J46" s="1314"/>
      <c r="K46" s="1315"/>
      <c r="L46" s="1316" t="e">
        <f ca="1">IF(M47="住宅",0,IF(L48&gt;J51,L60,J60))</f>
        <v>#N/A</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t="e">
        <f ca="1">INDIRECT("'数据-取费表'!d"&amp;$G$1)</f>
        <v>#N/A</v>
      </c>
      <c r="M47" s="1287" t="str">
        <f>IF(ISNUMBER(FIND("住宅",C1)),"住宅","非住宅")</f>
        <v>非住宅</v>
      </c>
      <c r="O47" s="1324" t="s">
        <v>403</v>
      </c>
      <c r="P47" s="1325" t="s">
        <v>811</v>
      </c>
      <c r="Q47" s="1326" t="e">
        <f ca="1">C40+J29</f>
        <v>#N/A</v>
      </c>
      <c r="R47" s="1326" t="s">
        <v>812</v>
      </c>
    </row>
    <row r="48" spans="1:18" s="1291" customFormat="1" ht="28.5" thickBot="1">
      <c r="A48" s="1047" t="s">
        <v>438</v>
      </c>
      <c r="B48" s="292" t="s">
        <v>686</v>
      </c>
      <c r="C48" s="1267" t="e">
        <f ca="1">C49+C53+C55</f>
        <v>#N/A</v>
      </c>
      <c r="D48" s="1049"/>
      <c r="E48" s="1050"/>
      <c r="F48" s="908"/>
      <c r="G48" s="681"/>
      <c r="H48" s="682"/>
      <c r="I48" s="1327" t="s">
        <v>813</v>
      </c>
      <c r="J48" s="1328" t="s">
        <v>3422</v>
      </c>
      <c r="K48" s="1329" t="s">
        <v>814</v>
      </c>
      <c r="L48" s="1330" t="e">
        <f ca="1">INDIRECT("'数据-取费表'!f"&amp;$G$1)</f>
        <v>#N/A</v>
      </c>
      <c r="O48" s="1324" t="s">
        <v>404</v>
      </c>
      <c r="P48" s="1325" t="s">
        <v>815</v>
      </c>
      <c r="Q48" s="1326" t="e">
        <f ca="1">J60</f>
        <v>#N/A</v>
      </c>
      <c r="R48" s="1326" t="s">
        <v>816</v>
      </c>
    </row>
    <row r="49" spans="1:18" s="1291" customFormat="1" ht="13.5" thickBot="1">
      <c r="A49" s="921" t="s">
        <v>439</v>
      </c>
      <c r="B49" s="1278" t="s">
        <v>773</v>
      </c>
      <c r="C49" s="1051" t="e">
        <f ca="1">ROUND(F49*F51*F50*(1-F52)/10000,0)</f>
        <v>#N/A</v>
      </c>
      <c r="D49" s="992" t="s">
        <v>2102</v>
      </c>
      <c r="E49" s="1279" t="s">
        <v>774</v>
      </c>
      <c r="F49" s="997"/>
      <c r="H49" s="682"/>
      <c r="I49" s="1327" t="s">
        <v>817</v>
      </c>
      <c r="J49" s="1331">
        <f>'数据-取费表'!N18</f>
        <v>2023</v>
      </c>
      <c r="K49" s="1329" t="s">
        <v>818</v>
      </c>
      <c r="L49" s="1332"/>
      <c r="O49" s="1333" t="s">
        <v>405</v>
      </c>
      <c r="P49" s="1325" t="s">
        <v>819</v>
      </c>
      <c r="Q49" s="1326" t="e">
        <f ca="1">C29</f>
        <v>#N/A</v>
      </c>
      <c r="R49" s="1326" t="s">
        <v>812</v>
      </c>
    </row>
    <row r="50" spans="1:18" s="1291" customFormat="1" ht="13.5" thickBot="1">
      <c r="A50" s="922"/>
      <c r="B50" s="925"/>
      <c r="C50" s="1055"/>
      <c r="D50" s="899"/>
      <c r="E50" s="993" t="s">
        <v>691</v>
      </c>
      <c r="F50" s="994" t="e">
        <f ca="1">F7</f>
        <v>#N/A</v>
      </c>
      <c r="H50" s="682"/>
      <c r="I50" s="1327" t="s">
        <v>820</v>
      </c>
      <c r="J50" s="1334">
        <f>SUMPRODUCT((I63:I65=J47)*(J62:L62=J48)*(J63:L65))</f>
        <v>60</v>
      </c>
      <c r="K50" s="1329" t="s">
        <v>821</v>
      </c>
      <c r="L50" s="1332"/>
      <c r="M50" s="1335"/>
      <c r="O50" s="1333" t="s">
        <v>406</v>
      </c>
      <c r="P50" s="1325" t="s">
        <v>822</v>
      </c>
      <c r="Q50" s="1336" t="e">
        <f ca="1">J58</f>
        <v>#N/A</v>
      </c>
      <c r="R50" s="1326"/>
    </row>
    <row r="51" spans="1:18" s="1291" customFormat="1" ht="13.5" thickBot="1">
      <c r="A51" s="923"/>
      <c r="B51" s="925"/>
      <c r="C51" s="926"/>
      <c r="D51" s="899"/>
      <c r="E51" s="927" t="s">
        <v>692</v>
      </c>
      <c r="F51" s="295" t="e">
        <f ca="1">F8</f>
        <v>#N/A</v>
      </c>
      <c r="I51" s="1337" t="s">
        <v>823</v>
      </c>
      <c r="J51" s="1330">
        <f>IF(J49="",J50,J49+J50-YEAR('数据-取费表'!B2))</f>
        <v>60</v>
      </c>
      <c r="K51" s="1338" t="s">
        <v>824</v>
      </c>
      <c r="L51" s="1339" t="e">
        <f ca="1">ROUND(-PV(INDIRECT("'数据-取费表'!h"&amp;$G$1),J51,(C39-C13*C76),0),0)</f>
        <v>#N/A</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t="e">
        <f ca="1">J53</f>
        <v>#N/A</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t="e">
        <f ca="1">IF(M47="住宅",IF(D1="——",MAX(J51,L48),MAX(J51,L48-'数据-取费表'!B24)),IF(D1="——",MIN(J51,L48),MIN(J51,L48-'数据-取费表'!B24)))</f>
        <v>#N/A</v>
      </c>
      <c r="K53" s="3513" t="s">
        <v>831</v>
      </c>
      <c r="L53" s="3514"/>
      <c r="O53" s="1324" t="s">
        <v>409</v>
      </c>
      <c r="P53" s="1325" t="s">
        <v>832</v>
      </c>
      <c r="Q53" s="1326" t="e">
        <f ca="1">Q47+Q48</f>
        <v>#N/A</v>
      </c>
      <c r="R53" s="1326" t="s">
        <v>410</v>
      </c>
    </row>
    <row r="54" spans="1:18" s="1291" customFormat="1" ht="13.5" thickBot="1">
      <c r="A54" s="1080"/>
      <c r="B54" s="1274" t="s">
        <v>673</v>
      </c>
      <c r="C54" s="905"/>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#N/A</v>
      </c>
      <c r="K55" s="1349" t="s">
        <v>835</v>
      </c>
      <c r="L55" s="1350"/>
      <c r="O55" s="1317" t="s">
        <v>805</v>
      </c>
      <c r="P55" s="1318" t="s">
        <v>806</v>
      </c>
      <c r="Q55" s="1319" t="s">
        <v>807</v>
      </c>
      <c r="R55" s="1319" t="s">
        <v>808</v>
      </c>
    </row>
    <row r="56" spans="1:18" s="1291" customFormat="1" ht="25.5" thickTop="1" thickBot="1">
      <c r="A56" s="903">
        <v>2</v>
      </c>
      <c r="B56" s="904" t="s">
        <v>698</v>
      </c>
      <c r="C56" s="224" t="e">
        <f ca="1">C13</f>
        <v>#N/A</v>
      </c>
      <c r="D56" s="1351"/>
      <c r="E56" s="1352"/>
      <c r="F56" s="1344"/>
      <c r="I56" s="1353" t="s">
        <v>836</v>
      </c>
      <c r="J56" s="1354" t="s">
        <v>3383</v>
      </c>
      <c r="K56" s="1327" t="s">
        <v>837</v>
      </c>
      <c r="L56" s="1330" t="e">
        <f ca="1">IF(L48&lt;J51,"——",L48-J53)</f>
        <v>#N/A</v>
      </c>
      <c r="O56" s="1324" t="s">
        <v>403</v>
      </c>
      <c r="P56" s="1325" t="s">
        <v>811</v>
      </c>
      <c r="Q56" s="1326" t="e">
        <f ca="1">C40+J29</f>
        <v>#N/A</v>
      </c>
      <c r="R56" s="1326" t="s">
        <v>812</v>
      </c>
    </row>
    <row r="57" spans="1:18" s="1291" customFormat="1" ht="24.75" thickBot="1">
      <c r="A57" s="1355"/>
      <c r="B57" s="896" t="s">
        <v>761</v>
      </c>
      <c r="C57" s="230" t="e">
        <f ca="1">C29</f>
        <v>#N/A</v>
      </c>
      <c r="D57" s="1356"/>
      <c r="E57" s="1357"/>
      <c r="F57" s="1358"/>
      <c r="I57" s="1359" t="s">
        <v>838</v>
      </c>
      <c r="J57" s="1360" t="e">
        <f ca="1">IF(OR(M47="住宅",J51&lt;L48,J56="是"),"——",J51-L48)</f>
        <v>#N/A</v>
      </c>
      <c r="K57" s="1327" t="s">
        <v>839</v>
      </c>
      <c r="L57" s="1330" t="e">
        <f ca="1">IF(L48&lt;J51,"——",IF(L55="比较法",L49,IF(L55="基准地价",L50,L51)))</f>
        <v>#N/A</v>
      </c>
      <c r="O57" s="1324" t="s">
        <v>404</v>
      </c>
      <c r="P57" s="1325" t="s">
        <v>840</v>
      </c>
      <c r="Q57" s="1326" t="e">
        <f ca="1">L60</f>
        <v>#N/A</v>
      </c>
      <c r="R57" s="1326" t="s">
        <v>841</v>
      </c>
    </row>
    <row r="58" spans="1:18" s="1291" customFormat="1" ht="24.75" thickBot="1">
      <c r="A58" s="307" t="s">
        <v>393</v>
      </c>
      <c r="B58" s="904" t="s">
        <v>708</v>
      </c>
      <c r="C58" s="308" t="e">
        <f ca="1">ROUND(C59+C64+C65+C66,0)</f>
        <v>#N/A</v>
      </c>
      <c r="D58" s="906" t="s">
        <v>709</v>
      </c>
      <c r="E58" s="907"/>
      <c r="F58" s="908"/>
      <c r="I58" s="1359" t="s">
        <v>842</v>
      </c>
      <c r="J58" s="1361" t="e">
        <f ca="1">IF(J55&lt;0.4,0.4,J55)</f>
        <v>#N/A</v>
      </c>
      <c r="K58" s="1338" t="s">
        <v>843</v>
      </c>
      <c r="L58" s="1330" t="e">
        <f ca="1">ROUND(POWER(1+L52,L47-L48)*(POWER(1+L52,L48)-1)/(POWER(1+L52,L47)-1),4)</f>
        <v>#N/A</v>
      </c>
      <c r="O58" s="1333" t="s">
        <v>405</v>
      </c>
      <c r="P58" s="1325" t="s">
        <v>844</v>
      </c>
      <c r="Q58" s="1326">
        <f>IF(L55="比较法",L49,IF(L55="基准地价",L50,0))</f>
        <v>0</v>
      </c>
      <c r="R58" s="1326" t="s">
        <v>812</v>
      </c>
    </row>
    <row r="59" spans="1:18" s="1291" customFormat="1" ht="24.75" thickBot="1">
      <c r="A59" s="928" t="s">
        <v>398</v>
      </c>
      <c r="B59" s="896" t="s">
        <v>713</v>
      </c>
      <c r="C59" s="2136" t="e">
        <f ca="1">ROUND(IF(AND(项目基本情况!B11="自然人",项目基本情况!B10="北京市"),C49*F59/(1+'数据-取费表'!C42),C60+C61+C62),0)</f>
        <v>#N/A</v>
      </c>
      <c r="D59" s="909" t="s">
        <v>714</v>
      </c>
      <c r="E59" s="910" t="s">
        <v>715</v>
      </c>
      <c r="F59" s="2135" t="str">
        <f>IF(项目基本情况!B11="企业","——",IF('数据-取费表'!B10="住宅",IF(F49*F50*F51/12/(1+'数据-取费表'!F30)&gt;100000,4%,2.5%),IF(F49*F50*F51/12/(1+'数据-取费表'!F30)&gt;100000,12%,7%)))</f>
        <v>——</v>
      </c>
      <c r="I59" s="1359" t="s">
        <v>845</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846</v>
      </c>
      <c r="Q59" s="1336">
        <f>L52</f>
        <v>0</v>
      </c>
      <c r="R59" s="1326"/>
    </row>
    <row r="60" spans="1:18" s="1291" customFormat="1" ht="16.5" thickBot="1">
      <c r="A60" s="928" t="s">
        <v>397</v>
      </c>
      <c r="B60" s="896" t="s">
        <v>717</v>
      </c>
      <c r="C60" s="21" t="e">
        <f ca="1">IF(项目基本情况!B11="自然人","——",ROUND(C48*F60/(1+'数据-取费表'!C42),2))</f>
        <v>#N/A</v>
      </c>
      <c r="D60" s="910" t="s">
        <v>718</v>
      </c>
      <c r="E60" s="896" t="s">
        <v>706</v>
      </c>
      <c r="F60" s="322">
        <f t="shared" ref="F60:F66" si="0">F32</f>
        <v>5.6000000000000001E-2</v>
      </c>
      <c r="I60" s="1362" t="s">
        <v>847</v>
      </c>
      <c r="J60" s="1363" t="e">
        <f ca="1">IF(OR(M47="住宅",J51&lt;L48,J56="是"),"0",ROUND(J59/(1+J52)^J53,0))</f>
        <v>#N/A</v>
      </c>
      <c r="K60" s="1364" t="s">
        <v>848</v>
      </c>
      <c r="L60" s="1363" t="e">
        <f ca="1">IF(OR(M47="住宅",L48&lt;J51),0,ROUND(L57*(L58/L59-1),0))</f>
        <v>#N/A</v>
      </c>
      <c r="O60" s="1333" t="s">
        <v>407</v>
      </c>
      <c r="P60" s="1325" t="s">
        <v>849</v>
      </c>
      <c r="Q60" s="1326" t="e">
        <f ca="1">L58</f>
        <v>#N/A</v>
      </c>
      <c r="R60" s="1326" t="s">
        <v>850</v>
      </c>
    </row>
    <row r="61" spans="1:18" s="1291" customFormat="1" ht="13.5" thickBot="1">
      <c r="A61" s="928" t="s">
        <v>775</v>
      </c>
      <c r="B61" s="896" t="s">
        <v>721</v>
      </c>
      <c r="C61" s="21" t="e">
        <f ca="1">IF(项目基本情况!B11="自然人","——",IF(D61="按租金收入计税",ROUND(C49*F61/(1+'数据-取费表'!C42),2),IF(D61="按房产原值计税",ROUND(C57*F61*0.7,2),INDIRECT("'数据-取费表'!Aj"&amp;$G$1))))</f>
        <v>#N/A</v>
      </c>
      <c r="D61" s="1277" t="s">
        <v>3334</v>
      </c>
      <c r="E61" s="896" t="s">
        <v>706</v>
      </c>
      <c r="F61" s="314">
        <f t="shared" si="0"/>
        <v>0.12</v>
      </c>
      <c r="I61" s="1365"/>
      <c r="J61" s="1365"/>
      <c r="K61" s="1365"/>
      <c r="L61" s="1365"/>
      <c r="O61" s="1333" t="s">
        <v>408</v>
      </c>
      <c r="P61" s="1325" t="str">
        <f>K59</f>
        <v>建筑物剩余耐用年限下的土地年期修正系数Kn</v>
      </c>
      <c r="Q61" s="1326" t="e">
        <f ca="1">L59</f>
        <v>#N/A</v>
      </c>
      <c r="R61" s="1326" t="s">
        <v>851</v>
      </c>
    </row>
    <row r="62" spans="1:18" s="1291" customFormat="1" ht="13.5" thickBot="1">
      <c r="A62" s="928" t="s">
        <v>778</v>
      </c>
      <c r="B62" s="895" t="s">
        <v>724</v>
      </c>
      <c r="C62" s="22" t="e">
        <f ca="1">IF(项目基本情况!B11="自然人","——",ROUND(F62*F63/10000,2))</f>
        <v>#N/A</v>
      </c>
      <c r="D62" s="911" t="s">
        <v>725</v>
      </c>
      <c r="E62" s="896" t="s">
        <v>726</v>
      </c>
      <c r="F62" s="317">
        <f t="shared" si="0"/>
        <v>0</v>
      </c>
      <c r="I62" s="1366" t="s">
        <v>852</v>
      </c>
      <c r="J62" s="610" t="s">
        <v>853</v>
      </c>
      <c r="K62" s="610" t="s">
        <v>854</v>
      </c>
      <c r="L62" s="610" t="s">
        <v>855</v>
      </c>
      <c r="M62" s="1367" t="s">
        <v>856</v>
      </c>
      <c r="O62" s="1324" t="s">
        <v>409</v>
      </c>
      <c r="P62" s="1325" t="s">
        <v>832</v>
      </c>
      <c r="Q62" s="1326" t="e">
        <f ca="1">Q56+Q57</f>
        <v>#N/A</v>
      </c>
      <c r="R62" s="1326" t="s">
        <v>410</v>
      </c>
    </row>
    <row r="63" spans="1:18" s="1291" customFormat="1" ht="13.5" thickBot="1">
      <c r="A63" s="318"/>
      <c r="B63" s="902"/>
      <c r="C63" s="26"/>
      <c r="D63" s="912"/>
      <c r="E63" s="896" t="s">
        <v>730</v>
      </c>
      <c r="F63" s="295" t="e">
        <f t="shared" ca="1" si="0"/>
        <v>#N/A</v>
      </c>
      <c r="I63" s="1366" t="s">
        <v>858</v>
      </c>
      <c r="J63" s="610">
        <v>70</v>
      </c>
      <c r="K63" s="610">
        <v>50</v>
      </c>
      <c r="L63" s="610">
        <v>80</v>
      </c>
      <c r="M63" s="1368">
        <v>0.02</v>
      </c>
      <c r="O63" s="1309" t="s">
        <v>859</v>
      </c>
      <c r="P63" s="1288"/>
      <c r="Q63" s="1288"/>
      <c r="R63" s="1288"/>
    </row>
    <row r="64" spans="1:18" s="1291" customFormat="1" ht="13.5" thickBot="1">
      <c r="A64" s="928" t="s">
        <v>402</v>
      </c>
      <c r="B64" s="896" t="s">
        <v>732</v>
      </c>
      <c r="C64" s="21" t="e">
        <f ca="1">ROUND(C57*F64,2)</f>
        <v>#N/A</v>
      </c>
      <c r="D64" s="910" t="s">
        <v>765</v>
      </c>
      <c r="E64" s="896" t="s">
        <v>706</v>
      </c>
      <c r="F64" s="320" t="e">
        <f t="shared" ca="1" si="0"/>
        <v>#N/A</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t="e">
        <f ca="1">ROUND(C56*F65,2)</f>
        <v>#N/A</v>
      </c>
      <c r="D65" s="910" t="s">
        <v>737</v>
      </c>
      <c r="E65" s="896" t="s">
        <v>706</v>
      </c>
      <c r="F65" s="321" t="e">
        <f t="shared" ca="1" si="0"/>
        <v>#N/A</v>
      </c>
      <c r="I65" s="1366" t="s">
        <v>861</v>
      </c>
      <c r="J65" s="610">
        <v>40</v>
      </c>
      <c r="K65" s="610">
        <v>30</v>
      </c>
      <c r="L65" s="610">
        <v>50</v>
      </c>
      <c r="M65" s="1368">
        <v>0.02</v>
      </c>
      <c r="O65" s="1324" t="s">
        <v>403</v>
      </c>
      <c r="P65" s="1325" t="s">
        <v>811</v>
      </c>
      <c r="Q65" s="1326" t="e">
        <f ca="1">C40+J29</f>
        <v>#N/A</v>
      </c>
      <c r="R65" s="1326" t="s">
        <v>812</v>
      </c>
    </row>
    <row r="66" spans="1:18" s="1291" customFormat="1" ht="16.5" thickBot="1">
      <c r="A66" s="928" t="s">
        <v>787</v>
      </c>
      <c r="B66" s="896" t="s">
        <v>722</v>
      </c>
      <c r="C66" s="21" t="e">
        <f ca="1">ROUND(C48*F66,2)</f>
        <v>#N/A</v>
      </c>
      <c r="D66" s="910" t="s">
        <v>742</v>
      </c>
      <c r="E66" s="896" t="s">
        <v>706</v>
      </c>
      <c r="F66" s="304" t="e">
        <f t="shared" ca="1" si="0"/>
        <v>#N/A</v>
      </c>
      <c r="O66" s="1324" t="s">
        <v>404</v>
      </c>
      <c r="P66" s="1325" t="s">
        <v>840</v>
      </c>
      <c r="Q66" s="1326" t="e">
        <f ca="1">L60</f>
        <v>#N/A</v>
      </c>
      <c r="R66" s="1326" t="s">
        <v>863</v>
      </c>
    </row>
    <row r="67" spans="1:18" s="1291" customFormat="1" ht="16.5" thickBot="1">
      <c r="A67" s="903" t="s">
        <v>394</v>
      </c>
      <c r="B67" s="913" t="s">
        <v>746</v>
      </c>
      <c r="C67" s="308" t="e">
        <f ca="1">C48-C58</f>
        <v>#N/A</v>
      </c>
      <c r="D67" s="909" t="s">
        <v>747</v>
      </c>
      <c r="E67" s="914"/>
      <c r="F67" s="915"/>
      <c r="O67" s="1333" t="s">
        <v>405</v>
      </c>
      <c r="P67" s="1325" t="s">
        <v>844</v>
      </c>
      <c r="Q67" s="1369" t="e">
        <f ca="1">L51</f>
        <v>#N/A</v>
      </c>
      <c r="R67" s="1326" t="s">
        <v>864</v>
      </c>
    </row>
    <row r="68" spans="1:18" s="1291" customFormat="1" ht="16.5" thickBot="1">
      <c r="A68" s="893" t="s">
        <v>395</v>
      </c>
      <c r="B68" s="894" t="s">
        <v>768</v>
      </c>
      <c r="C68" s="293" t="e">
        <f ca="1">ROUND(C67*(1-((1+F70)/(1+F68))^F69)/(F68-F70),0)</f>
        <v>#N/A</v>
      </c>
      <c r="D68" s="911" t="s">
        <v>752</v>
      </c>
      <c r="E68" s="896" t="s">
        <v>753</v>
      </c>
      <c r="F68" s="304" t="e">
        <f ca="1">F40</f>
        <v>#N/A</v>
      </c>
      <c r="O68" s="1333" t="s">
        <v>406</v>
      </c>
      <c r="P68" s="1370" t="s">
        <v>865</v>
      </c>
      <c r="Q68" s="1326" t="e">
        <f ca="1">ROUND(Q69-Q70*Q71,0)</f>
        <v>#N/A</v>
      </c>
      <c r="R68" s="1326" t="s">
        <v>414</v>
      </c>
    </row>
    <row r="69" spans="1:18" s="1291" customFormat="1" ht="13.5" thickBot="1">
      <c r="A69" s="897"/>
      <c r="B69" s="898"/>
      <c r="C69" s="298"/>
      <c r="D69" s="916" t="s">
        <v>756</v>
      </c>
      <c r="E69" s="896" t="s">
        <v>757</v>
      </c>
      <c r="F69" s="324" t="e">
        <f ca="1">F41</f>
        <v>#N/A</v>
      </c>
      <c r="O69" s="1333" t="s">
        <v>411</v>
      </c>
      <c r="P69" s="1370" t="s">
        <v>866</v>
      </c>
      <c r="Q69" s="1326" t="e">
        <f ca="1">C39</f>
        <v>#N/A</v>
      </c>
      <c r="R69" s="1326" t="s">
        <v>812</v>
      </c>
    </row>
    <row r="70" spans="1:18" s="1291" customFormat="1" ht="13.5" thickBot="1">
      <c r="A70" s="900"/>
      <c r="B70" s="901"/>
      <c r="C70" s="302"/>
      <c r="D70" s="912"/>
      <c r="E70" s="896" t="s">
        <v>760</v>
      </c>
      <c r="F70" s="991"/>
      <c r="O70" s="1333" t="s">
        <v>412</v>
      </c>
      <c r="P70" s="1370" t="s">
        <v>867</v>
      </c>
      <c r="Q70" s="1326" t="e">
        <f ca="1">C13</f>
        <v>#N/A</v>
      </c>
      <c r="R70" s="1326" t="s">
        <v>812</v>
      </c>
    </row>
    <row r="71" spans="1:18" s="1291" customFormat="1" ht="13.5" thickBot="1">
      <c r="A71" s="917" t="s">
        <v>396</v>
      </c>
      <c r="B71" s="918" t="s">
        <v>770</v>
      </c>
      <c r="C71" s="327" t="e">
        <f ca="1">ROUND(C68*10000/F71,0)</f>
        <v>#N/A</v>
      </c>
      <c r="D71" s="919" t="s">
        <v>771</v>
      </c>
      <c r="E71" s="920" t="s">
        <v>772</v>
      </c>
      <c r="F71" s="330" t="e">
        <f ca="1">F43</f>
        <v>#N/A</v>
      </c>
      <c r="O71" s="1333" t="s">
        <v>413</v>
      </c>
      <c r="P71" s="1370" t="s">
        <v>868</v>
      </c>
      <c r="Q71" s="1336" t="e">
        <f ca="1">C76</f>
        <v>#N/A</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#N/A</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#N/A</v>
      </c>
      <c r="R74" s="1326" t="s">
        <v>851</v>
      </c>
    </row>
    <row r="75" spans="1:18" ht="13.5" thickBot="1">
      <c r="A75" s="1291"/>
      <c r="B75" s="331" t="s">
        <v>789</v>
      </c>
      <c r="C75" s="332" t="e">
        <f ca="1">ROUND(C13*C76,0)</f>
        <v>#N/A</v>
      </c>
      <c r="D75" s="1291"/>
      <c r="E75" s="1291"/>
      <c r="F75" s="1291"/>
      <c r="K75" s="1308"/>
      <c r="L75" s="1291"/>
      <c r="O75" s="1324" t="s">
        <v>409</v>
      </c>
      <c r="P75" s="1325" t="s">
        <v>832</v>
      </c>
      <c r="Q75" s="1326" t="e">
        <f ca="1">Q65+Q66</f>
        <v>#N/A</v>
      </c>
      <c r="R75" s="1326" t="s">
        <v>410</v>
      </c>
    </row>
    <row r="76" spans="1:18">
      <c r="B76" s="333" t="s">
        <v>790</v>
      </c>
      <c r="C76" s="334" t="e">
        <f ca="1">INDIRECT("'数据-取费表'!j"&amp;$G$1)</f>
        <v>#N/A</v>
      </c>
      <c r="I76" s="1291"/>
      <c r="J76" s="1291"/>
      <c r="K76" s="1308"/>
      <c r="L76" s="1291"/>
    </row>
    <row r="77" spans="1:18">
      <c r="B77" s="335" t="s">
        <v>791</v>
      </c>
      <c r="C77" s="336"/>
      <c r="I77" s="1291"/>
      <c r="J77" s="1291"/>
      <c r="K77" s="1308"/>
      <c r="L77" s="1291"/>
    </row>
    <row r="78" spans="1:18">
      <c r="B78" s="262" t="s">
        <v>792</v>
      </c>
      <c r="C78" s="337"/>
    </row>
    <row r="79" spans="1:18">
      <c r="B79" s="331" t="s">
        <v>793</v>
      </c>
      <c r="C79" s="266" t="e">
        <f ca="1">1-C80</f>
        <v>#N/A</v>
      </c>
    </row>
    <row r="80" spans="1:18">
      <c r="B80" s="331" t="s">
        <v>794</v>
      </c>
      <c r="C80" s="266" t="e">
        <f ca="1">ROUND(C75/C39,3)</f>
        <v>#N/A</v>
      </c>
    </row>
    <row r="81" spans="2:3">
      <c r="B81" s="262" t="s">
        <v>795</v>
      </c>
      <c r="C81" s="230"/>
    </row>
    <row r="82" spans="2:3">
      <c r="B82" s="265" t="s">
        <v>796</v>
      </c>
      <c r="C82" s="267" t="e">
        <f ca="1">1-C83</f>
        <v>#N/A</v>
      </c>
    </row>
    <row r="83" spans="2:3">
      <c r="B83" s="265" t="s">
        <v>797</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14"/>
  <sheetViews>
    <sheetView workbookViewId="0">
      <selection activeCell="E6" sqref="E6"/>
    </sheetView>
  </sheetViews>
  <sheetFormatPr defaultRowHeight="13.5"/>
  <cols>
    <col min="3" max="3" width="13.75" customWidth="1"/>
    <col min="4" max="4" width="19.5" customWidth="1"/>
    <col min="5" max="5" width="25.5" customWidth="1"/>
    <col min="7" max="7" width="12.75" bestFit="1" customWidth="1"/>
  </cols>
  <sheetData>
    <row r="3" spans="3:7">
      <c r="C3" s="1404" t="s">
        <v>4094</v>
      </c>
      <c r="D3" s="1404" t="s">
        <v>4095</v>
      </c>
      <c r="E3" s="1404" t="s">
        <v>4098</v>
      </c>
    </row>
    <row r="4" spans="3:7">
      <c r="C4" s="1404" t="s">
        <v>4093</v>
      </c>
      <c r="D4" s="1404" t="s">
        <v>4096</v>
      </c>
      <c r="E4">
        <v>8000</v>
      </c>
      <c r="F4" s="1404" t="s">
        <v>4097</v>
      </c>
      <c r="G4" s="1404" t="s">
        <v>4366</v>
      </c>
    </row>
    <row r="5" spans="3:7" s="3260" customFormat="1">
      <c r="C5" s="3259" t="s">
        <v>4100</v>
      </c>
      <c r="D5" s="3259" t="s">
        <v>4116</v>
      </c>
      <c r="E5" s="3259" t="s">
        <v>4101</v>
      </c>
      <c r="F5" s="3259" t="s">
        <v>4104</v>
      </c>
      <c r="G5" s="3259" t="s">
        <v>4367</v>
      </c>
    </row>
    <row r="6" spans="3:7">
      <c r="D6" s="1404" t="s">
        <v>4102</v>
      </c>
      <c r="E6" s="1404" t="s">
        <v>4103</v>
      </c>
      <c r="F6" s="1404" t="s">
        <v>4104</v>
      </c>
    </row>
    <row r="7" spans="3:7">
      <c r="D7" s="1404" t="s">
        <v>4106</v>
      </c>
      <c r="E7" s="1404" t="s">
        <v>4105</v>
      </c>
      <c r="F7" s="1404" t="s">
        <v>4107</v>
      </c>
    </row>
    <row r="8" spans="3:7" s="3260" customFormat="1">
      <c r="C8" s="3259" t="s">
        <v>4109</v>
      </c>
      <c r="D8" s="3259" t="s">
        <v>4117</v>
      </c>
      <c r="E8" s="3259" t="s">
        <v>4360</v>
      </c>
      <c r="G8" s="3259" t="s">
        <v>4363</v>
      </c>
    </row>
    <row r="9" spans="3:7">
      <c r="D9" s="1404" t="s">
        <v>4110</v>
      </c>
      <c r="E9" s="1404" t="s">
        <v>4361</v>
      </c>
      <c r="F9" s="1404" t="s">
        <v>4111</v>
      </c>
    </row>
    <row r="10" spans="3:7">
      <c r="C10" s="1404" t="s">
        <v>4122</v>
      </c>
      <c r="D10" s="1404" t="s">
        <v>4118</v>
      </c>
      <c r="E10" s="1404" t="s">
        <v>4112</v>
      </c>
      <c r="F10" s="1404" t="s">
        <v>4104</v>
      </c>
    </row>
    <row r="11" spans="3:7">
      <c r="C11" s="1404" t="s">
        <v>4113</v>
      </c>
      <c r="D11" s="1404" t="s">
        <v>4115</v>
      </c>
      <c r="E11" s="1404" t="s">
        <v>4114</v>
      </c>
      <c r="F11" s="1404" t="s">
        <v>4104</v>
      </c>
    </row>
    <row r="12" spans="3:7">
      <c r="C12" s="1404" t="s">
        <v>4119</v>
      </c>
      <c r="D12" s="1404" t="s">
        <v>4120</v>
      </c>
      <c r="E12">
        <v>4300</v>
      </c>
      <c r="F12" s="1404" t="s">
        <v>4121</v>
      </c>
      <c r="G12">
        <v>18633369541</v>
      </c>
    </row>
    <row r="13" spans="3:7" s="3260" customFormat="1">
      <c r="C13" s="3259" t="s">
        <v>4123</v>
      </c>
      <c r="D13" s="3259" t="s">
        <v>4365</v>
      </c>
      <c r="E13" s="3259" t="s">
        <v>4362</v>
      </c>
      <c r="G13" s="3259" t="s">
        <v>4364</v>
      </c>
    </row>
    <row r="14" spans="3:7">
      <c r="D14" s="1404" t="s">
        <v>4110</v>
      </c>
      <c r="E14">
        <v>10000</v>
      </c>
      <c r="F14" s="1404" t="s">
        <v>4111</v>
      </c>
    </row>
  </sheetData>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66"/>
  <sheetViews>
    <sheetView topLeftCell="A37" workbookViewId="0">
      <selection activeCell="H166" sqref="H166"/>
    </sheetView>
  </sheetViews>
  <sheetFormatPr defaultRowHeight="13.5"/>
  <cols>
    <col min="15" max="15" width="9" customWidth="1"/>
  </cols>
  <sheetData>
    <row r="3" spans="15:15">
      <c r="O3" s="1404" t="s">
        <v>4088</v>
      </c>
    </row>
    <row r="38" spans="2:2">
      <c r="B38" s="1404" t="s">
        <v>4270</v>
      </c>
    </row>
    <row r="70" spans="2:2">
      <c r="B70" s="1404" t="s">
        <v>4271</v>
      </c>
    </row>
    <row r="103" spans="3:3">
      <c r="C103" s="1404" t="s">
        <v>4272</v>
      </c>
    </row>
    <row r="136" spans="3:3">
      <c r="C136" s="1404" t="s">
        <v>4273</v>
      </c>
    </row>
    <row r="166" spans="4:4">
      <c r="D166" s="1404" t="s">
        <v>4274</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2075</v>
      </c>
      <c r="B1" s="4"/>
      <c r="C1" s="4"/>
      <c r="D1" s="4"/>
      <c r="E1" s="4"/>
      <c r="F1" s="2539"/>
      <c r="G1" s="2539"/>
      <c r="H1" s="2539"/>
      <c r="I1" s="2539"/>
      <c r="J1" s="2539"/>
      <c r="K1" s="2539"/>
      <c r="L1" s="2539"/>
      <c r="M1" s="2539"/>
      <c r="N1" s="2539"/>
      <c r="O1" s="2539"/>
      <c r="P1" s="2539"/>
    </row>
    <row r="2" spans="1:16" ht="15.75">
      <c r="A2" s="1980" t="s">
        <v>2067</v>
      </c>
      <c r="B2" s="2383" t="e">
        <f ca="1">SUMIF(B6:B13,"&lt;&gt;#ref!",B6:B13)</f>
        <v>#DIV/0!</v>
      </c>
      <c r="C2" s="1980" t="s">
        <v>2068</v>
      </c>
      <c r="D2" s="1980" t="s">
        <v>2069</v>
      </c>
      <c r="E2" s="2393">
        <f ca="1">SUMIF(E6:E13,"&lt;&gt;#ref!",E6:E13)</f>
        <v>0</v>
      </c>
      <c r="F2" s="2539"/>
      <c r="G2" s="2539"/>
      <c r="H2" s="2539"/>
      <c r="I2" s="2539"/>
      <c r="J2" s="2539"/>
      <c r="K2" s="2539"/>
      <c r="L2" s="2539"/>
      <c r="M2" s="2539"/>
      <c r="N2" s="2539"/>
      <c r="O2" s="2539"/>
      <c r="P2" s="2539"/>
    </row>
    <row r="3" spans="1:16" ht="15.75">
      <c r="A3" s="1980" t="s">
        <v>2070</v>
      </c>
      <c r="B3" s="2383" t="e">
        <f ca="1">ROUND(B2*10000/E2,0)</f>
        <v>#DIV/0!</v>
      </c>
      <c r="C3" s="1980" t="s">
        <v>2076</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2071</v>
      </c>
      <c r="B5" s="2391" t="s">
        <v>2072</v>
      </c>
      <c r="C5" s="1981"/>
      <c r="D5" s="2539"/>
      <c r="E5" s="2392" t="s">
        <v>2073</v>
      </c>
      <c r="F5" s="2539"/>
      <c r="G5" s="2539"/>
      <c r="H5" s="2539"/>
      <c r="I5" s="2539"/>
      <c r="J5" s="2539"/>
      <c r="K5" s="2539"/>
      <c r="L5" s="2539"/>
      <c r="M5" s="2539"/>
      <c r="N5" s="2539"/>
      <c r="O5" s="2539"/>
      <c r="P5" s="2539"/>
    </row>
    <row r="6" spans="1:16" ht="15.75">
      <c r="A6" s="2390" t="s">
        <v>2074</v>
      </c>
      <c r="B6" s="2383" t="e">
        <f ca="1">SUMIF(INDIRECT("'"&amp;A6&amp;"'"&amp;"!A:A"),"总价",INDIRECT("'"&amp;A6&amp;"'"&amp;"!B:B"))</f>
        <v>#DIV/0!</v>
      </c>
      <c r="C6" s="1980" t="s">
        <v>2068</v>
      </c>
      <c r="D6" s="2539"/>
      <c r="E6" s="2393">
        <f ca="1">SUMIF(INDIRECT("'"&amp;A6&amp;"'"&amp;"!C:C"),"建筑面积",INDIRECT("'"&amp;A6&amp;"'"&amp;"!D:D"))</f>
        <v>0</v>
      </c>
      <c r="F6" s="2539"/>
      <c r="G6" s="2539"/>
      <c r="H6" s="2539"/>
      <c r="I6" s="2539"/>
      <c r="J6" s="2539"/>
      <c r="K6" s="2539"/>
      <c r="L6" s="2539"/>
      <c r="M6" s="2539"/>
      <c r="N6" s="2539"/>
      <c r="O6" s="2539"/>
      <c r="P6" s="2539"/>
    </row>
    <row r="7" spans="1:16" ht="15.75">
      <c r="A7" s="2390"/>
      <c r="B7" s="2383" t="e">
        <f ca="1">SUMIF(INDIRECT("'"&amp;A7&amp;"'"&amp;"!A:A"),"总价",INDIRECT("'"&amp;A7&amp;"'"&amp;"!B:B"))</f>
        <v>#REF!</v>
      </c>
      <c r="C7" s="1980" t="s">
        <v>2068</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0" t="s">
        <v>2068</v>
      </c>
      <c r="D8" s="2539"/>
      <c r="E8" s="2393" t="e">
        <f t="shared" ca="1" si="0"/>
        <v>#REF!</v>
      </c>
      <c r="F8" s="2539"/>
      <c r="G8" s="2539"/>
      <c r="H8" s="2539"/>
      <c r="I8" s="2539"/>
      <c r="J8" s="2539"/>
      <c r="K8" s="2539"/>
      <c r="L8" s="2539"/>
      <c r="M8" s="2539"/>
      <c r="N8" s="2539"/>
      <c r="O8" s="2539"/>
      <c r="P8" s="2539"/>
    </row>
    <row r="9" spans="1:16" ht="15.75">
      <c r="A9" s="2390"/>
      <c r="B9" s="2383" t="e">
        <f t="shared" ca="1" si="1"/>
        <v>#REF!</v>
      </c>
      <c r="C9" s="1980" t="s">
        <v>2068</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0" t="s">
        <v>2068</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0" t="s">
        <v>2068</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0" t="s">
        <v>2068</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0" t="s">
        <v>2068</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1920</v>
      </c>
      <c r="B1" s="189"/>
      <c r="C1" s="193" t="s">
        <v>1921</v>
      </c>
      <c r="D1" s="333">
        <f>SUM(D33:D34,D37:D42)</f>
        <v>0</v>
      </c>
      <c r="E1" s="1838"/>
      <c r="F1" s="1838"/>
      <c r="G1" s="1838"/>
      <c r="H1" s="1838"/>
      <c r="I1" s="1838"/>
      <c r="J1" s="1838"/>
      <c r="K1" s="1056"/>
      <c r="L1" s="1839" t="s">
        <v>1922</v>
      </c>
      <c r="M1" s="810">
        <f>SUMPRODUCT((区片价!B5:B9=I2)*(区片价!C3:G3=E2)*(区片价!C5:G9))</f>
        <v>0</v>
      </c>
      <c r="N1" s="813">
        <f>SUMPRODUCT((因素修正幅度!B5:B9=I2)*(因素修正幅度!C3:G3=E2)*(因素修正幅度!C5:G9))</f>
        <v>0</v>
      </c>
      <c r="O1" s="1840"/>
      <c r="P1" s="1840"/>
      <c r="Q1" s="1056"/>
      <c r="R1" s="1128" t="s">
        <v>1923</v>
      </c>
      <c r="S1" s="1128" t="s">
        <v>1924</v>
      </c>
      <c r="T1" s="1128" t="s">
        <v>1925</v>
      </c>
      <c r="U1" s="1128" t="s">
        <v>1926</v>
      </c>
      <c r="V1" s="1128" t="s">
        <v>1927</v>
      </c>
      <c r="W1" s="1132"/>
      <c r="X1" s="1132"/>
      <c r="Y1" s="1132"/>
      <c r="Z1" s="1132"/>
      <c r="AA1" s="1132"/>
      <c r="AB1" s="1132"/>
      <c r="AC1" s="1133"/>
      <c r="AD1" s="1134"/>
      <c r="AE1" s="1134"/>
      <c r="AF1" s="1134"/>
      <c r="AG1" s="1134"/>
      <c r="AH1" s="1134"/>
      <c r="AI1" s="1134"/>
      <c r="AJ1" s="1135"/>
    </row>
    <row r="2" spans="1:36" ht="15.75">
      <c r="A2" s="193" t="s">
        <v>1928</v>
      </c>
      <c r="B2" s="196" t="e">
        <f>C30</f>
        <v>#DIV/0!</v>
      </c>
      <c r="C2" s="1842" t="s">
        <v>1929</v>
      </c>
      <c r="D2" s="162" t="s">
        <v>1930</v>
      </c>
      <c r="E2" s="3115"/>
      <c r="F2" s="162" t="s">
        <v>1931</v>
      </c>
      <c r="G2" s="163">
        <f>IF(E2="商业",项目基本情况!B37,IF(E2="办公",项目基本情况!C37,IF(E2="住宅",项目基本情况!D37,IF(E2="工业",项目基本情况!E37,项目基本情况!F37))))</f>
        <v>0</v>
      </c>
      <c r="H2" s="162" t="s">
        <v>1932</v>
      </c>
      <c r="I2" s="163">
        <f>IF(E2="商业",项目基本情况!B38,IF(E2="办公",项目基本情况!C38,IF(E2="住宅",项目基本情况!D38,IF(E2="工业",项目基本情况!E38,项目基本情况!F38))))</f>
        <v>0</v>
      </c>
      <c r="J2" s="1838"/>
      <c r="K2" s="1056"/>
      <c r="L2" s="1843" t="s">
        <v>1933</v>
      </c>
      <c r="M2" s="811">
        <f>SUMPRODUCT((区片价!B10:B29=I2)*(区片价!C3:G3=E2)*(区片价!C10:G29))</f>
        <v>0</v>
      </c>
      <c r="N2" s="813">
        <f>SUMPRODUCT((因素修正幅度!B10:B29=I2)*(因素修正幅度!C3:G3=E2)*(因素修正幅度!C10:G29))</f>
        <v>0</v>
      </c>
      <c r="O2" s="1056"/>
      <c r="P2" s="1056"/>
      <c r="Q2" s="1056"/>
      <c r="R2" s="1128">
        <v>1</v>
      </c>
      <c r="S2" s="3058">
        <f>ROUND(SUMPRODUCT((B106:B110=R2)*(C105:N105=G2)*(C106:N110)),4)</f>
        <v>0</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75">
      <c r="A3" s="195" t="s">
        <v>1934</v>
      </c>
      <c r="B3" s="196" t="e">
        <f>ROUND(B2*10000/D1,0)</f>
        <v>#DIV/0!</v>
      </c>
      <c r="C3" s="1842" t="s">
        <v>1935</v>
      </c>
      <c r="D3" s="162" t="s">
        <v>1936</v>
      </c>
      <c r="E3" s="3113"/>
      <c r="F3" s="1844"/>
      <c r="G3" s="708">
        <f>IF(F3="宗地容积率",'数据-汇总表'!I4,IF(F3="估价对象容积率",'数据-汇总表'!I6,'数据-汇总表'!I7))</f>
        <v>0</v>
      </c>
      <c r="H3" s="162" t="s">
        <v>1937</v>
      </c>
      <c r="I3" s="729"/>
      <c r="J3" s="1838" t="s">
        <v>1938</v>
      </c>
      <c r="K3" s="1056"/>
      <c r="L3" s="1843" t="s">
        <v>1939</v>
      </c>
      <c r="M3" s="811">
        <f>SUMPRODUCT((区片价!B30:B54=I2)*(区片价!C3:G3=E2)*(区片价!C30:G54))</f>
        <v>0</v>
      </c>
      <c r="N3" s="813">
        <f>SUMPRODUCT((因素修正幅度!B30:B54=I2)*(因素修正幅度!C3:G3=E2)*(因素修正幅度!C30:G54))</f>
        <v>0</v>
      </c>
      <c r="O3" s="1056"/>
      <c r="P3" s="1056"/>
      <c r="Q3" s="1056"/>
      <c r="R3" s="1128">
        <v>2</v>
      </c>
      <c r="S3" s="3058">
        <f>ROUND(SUMPRODUCT((B106:B110=R3)*(C105:N105=G2)*(C106:N110)),4)</f>
        <v>0</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75">
      <c r="A4" s="3572"/>
      <c r="B4" s="3573"/>
      <c r="C4" s="3573"/>
      <c r="D4" s="3574"/>
      <c r="E4" s="3574"/>
      <c r="F4" s="3574"/>
      <c r="G4" s="3574"/>
      <c r="H4" s="3574"/>
      <c r="I4" s="3574"/>
      <c r="J4" s="3575"/>
      <c r="K4" s="1056"/>
      <c r="L4" s="1843" t="s">
        <v>1940</v>
      </c>
      <c r="M4" s="811">
        <f>SUMPRODUCT((区片价!B55:B86=I2)*(区片价!C3:G3=E2)*(区片价!C55:G86))</f>
        <v>0</v>
      </c>
      <c r="N4" s="813">
        <f>SUMPRODUCT((因素修正幅度!B55:B86=I2)*(因素修正幅度!C3:G3=E2)*(因素修正幅度!C55:G86))</f>
        <v>0</v>
      </c>
      <c r="O4" s="1056"/>
      <c r="P4" s="1056"/>
      <c r="Q4" s="1056"/>
      <c r="R4" s="1128">
        <v>3</v>
      </c>
      <c r="S4" s="3058">
        <f>ROUND(SUMPRODUCT((B106:B110=R4)*(C105:N105=G2)*(C106:N110)),4)</f>
        <v>0</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1941</v>
      </c>
      <c r="C5" s="709" t="e">
        <f>ROUND(IF(E2="商业",C6*C7*C17+C20,(IF(E2="住宅",C6*C13*C17+C20,IF(E2="办公",C6*C12*C17+C20,C6+C20)))),0)</f>
        <v>#DIV/0!</v>
      </c>
      <c r="D5" s="1251" t="e">
        <f>ROUND(C6*C17+C20,0)</f>
        <v>#DIV/0!</v>
      </c>
      <c r="E5" s="1251"/>
      <c r="F5" s="1847"/>
      <c r="G5" s="1848"/>
      <c r="H5" s="1848"/>
      <c r="I5" s="1848"/>
      <c r="J5" s="1849"/>
      <c r="K5" s="1850"/>
      <c r="L5" s="1843" t="s">
        <v>1942</v>
      </c>
      <c r="M5" s="811">
        <f>SUMPRODUCT((区片价!B87:B126=I2)*(区片价!C3:G3=E2)*(区片价!C87:G126))</f>
        <v>0</v>
      </c>
      <c r="N5" s="813">
        <f>SUMPRODUCT((因素修正幅度!B87:B126=I2)*(因素修正幅度!C3:G3=E2)*(因素修正幅度!C87:G126))</f>
        <v>0</v>
      </c>
      <c r="O5" s="1056"/>
      <c r="P5" s="1056"/>
      <c r="Q5" s="1056"/>
      <c r="R5" s="1128">
        <v>4</v>
      </c>
      <c r="S5" s="3058">
        <f>ROUND(SUMPRODUCT((B106:B110=R5)*(C105:N105=G2)*(C106:N110)),4)</f>
        <v>0</v>
      </c>
      <c r="T5" s="3058" t="e">
        <f t="shared" si="0"/>
        <v>#DIV/0!</v>
      </c>
      <c r="U5" s="1129"/>
      <c r="V5" s="3058" t="e">
        <f t="shared" si="1"/>
        <v>#DIV/0!</v>
      </c>
      <c r="W5" s="1132"/>
      <c r="X5" s="1132"/>
      <c r="Y5" s="1132"/>
      <c r="Z5" s="1132"/>
      <c r="AA5" s="1132"/>
      <c r="AB5" s="1132"/>
      <c r="AC5" s="1851"/>
      <c r="AD5" s="1852"/>
      <c r="AE5" s="1852"/>
      <c r="AF5" s="1852"/>
      <c r="AG5" s="1852"/>
      <c r="AH5" s="1852"/>
      <c r="AI5" s="1852"/>
      <c r="AJ5" s="1853"/>
    </row>
    <row r="6" spans="1:36" ht="15.75" thickBot="1">
      <c r="A6" s="1855" t="s">
        <v>1943</v>
      </c>
      <c r="B6" s="1856" t="s">
        <v>1944</v>
      </c>
      <c r="C6" s="710">
        <f>SUMIF(L1:L12,G2,M1:M12)</f>
        <v>0</v>
      </c>
      <c r="D6" s="1857"/>
      <c r="E6" s="1858"/>
      <c r="F6" s="1858"/>
      <c r="G6" s="1859"/>
      <c r="H6" s="1859"/>
      <c r="I6" s="1859"/>
      <c r="J6" s="1860"/>
      <c r="K6" s="1291"/>
      <c r="L6" s="1843" t="s">
        <v>1945</v>
      </c>
      <c r="M6" s="811">
        <f>SUMPRODUCT((区片价!B127:B189=I2)*(区片价!C3:G3=E2)*(区片价!C127:G189))</f>
        <v>0</v>
      </c>
      <c r="N6" s="813">
        <f>SUMPRODUCT((因素修正幅度!B127:B189=I2)*(因素修正幅度!C3:G3=E2)*(因素修正幅度!C127:G189))</f>
        <v>0</v>
      </c>
      <c r="O6" s="1056"/>
      <c r="P6" s="1056"/>
      <c r="Q6" s="1056"/>
      <c r="R6" s="1128">
        <v>5</v>
      </c>
      <c r="S6" s="3058">
        <f>ROUND(SUMPRODUCT((B106:B110=R6)*(C105:N105=G2)*(C106:N110)),4)</f>
        <v>0</v>
      </c>
      <c r="T6" s="3058" t="e">
        <f t="shared" si="0"/>
        <v>#DIV/0!</v>
      </c>
      <c r="U6" s="1129"/>
      <c r="V6" s="3058" t="e">
        <f t="shared" si="1"/>
        <v>#DIV/0!</v>
      </c>
      <c r="W6" s="1132"/>
      <c r="X6" s="1132"/>
      <c r="Y6" s="1132"/>
      <c r="Z6" s="1132"/>
      <c r="AA6" s="1132"/>
      <c r="AB6" s="1132"/>
      <c r="AC6" s="1851"/>
      <c r="AD6" s="1852"/>
      <c r="AE6" s="1852"/>
      <c r="AF6" s="1852"/>
      <c r="AG6" s="1852"/>
      <c r="AH6" s="1852"/>
      <c r="AI6" s="1852"/>
      <c r="AJ6" s="1853"/>
    </row>
    <row r="7" spans="1:36" ht="24.75" thickBot="1">
      <c r="A7" s="3007" t="s">
        <v>3235</v>
      </c>
      <c r="B7" s="1861" t="s">
        <v>1946</v>
      </c>
      <c r="C7" s="711" t="e">
        <f>IF(C8="不临65条商业街",1,ROUND(1+(1.6*E8+1.2*E9+0.8*E10+0.4*E11)*C9,4))</f>
        <v>#DIV/0!</v>
      </c>
      <c r="D7" s="1862" t="s">
        <v>1947</v>
      </c>
      <c r="E7" s="730"/>
      <c r="F7" s="1863"/>
      <c r="G7" s="1864"/>
      <c r="H7" s="1864"/>
      <c r="I7" s="1864"/>
      <c r="J7" s="1865"/>
      <c r="K7" s="1291"/>
      <c r="L7" s="1843" t="s">
        <v>1948</v>
      </c>
      <c r="M7" s="811">
        <f>SUMPRODUCT((区片价!B190:B233=I2)*(区片价!C3:G3=E2)*(区片价!C190:G233))</f>
        <v>0</v>
      </c>
      <c r="N7" s="813">
        <f>SUMPRODUCT((因素修正幅度!B190:B233=I2)*(因素修正幅度!C3:G3=E2)*(因素修正幅度!C190:G233))</f>
        <v>0</v>
      </c>
      <c r="O7" s="1056"/>
      <c r="P7" s="1056"/>
      <c r="Q7" s="1056"/>
      <c r="R7" s="1128">
        <v>6</v>
      </c>
      <c r="S7" s="3112"/>
      <c r="T7" s="3058" t="e">
        <f t="shared" si="0"/>
        <v>#DIV/0!</v>
      </c>
      <c r="U7" s="1129"/>
      <c r="V7" s="3058" t="e">
        <f t="shared" si="1"/>
        <v>#DIV/0!</v>
      </c>
      <c r="W7" s="1266" t="s">
        <v>1949</v>
      </c>
      <c r="X7" s="1130">
        <f>G2</f>
        <v>0</v>
      </c>
      <c r="Y7" s="1130" t="s">
        <v>1950</v>
      </c>
      <c r="Z7" s="1131">
        <f>G3</f>
        <v>0</v>
      </c>
      <c r="AA7" s="1132"/>
      <c r="AB7" s="1132"/>
      <c r="AC7" s="1133"/>
      <c r="AD7" s="1134"/>
      <c r="AE7" s="1134"/>
      <c r="AF7" s="1134"/>
      <c r="AG7" s="1134"/>
      <c r="AH7" s="1134"/>
      <c r="AI7" s="1134"/>
      <c r="AJ7" s="1135"/>
    </row>
    <row r="8" spans="1:36" ht="15">
      <c r="A8" s="3004"/>
      <c r="B8" s="162" t="s">
        <v>1951</v>
      </c>
      <c r="C8" s="1866"/>
      <c r="D8" s="712" t="s">
        <v>112</v>
      </c>
      <c r="E8" s="713" t="e">
        <f>ROUND(C11/E7,4)</f>
        <v>#DIV/0!</v>
      </c>
      <c r="F8" s="1867" t="s">
        <v>1952</v>
      </c>
      <c r="G8" s="1868"/>
      <c r="H8" s="1868"/>
      <c r="I8" s="1868"/>
      <c r="J8" s="1869"/>
      <c r="K8" s="1056"/>
      <c r="L8" s="1843" t="s">
        <v>1953</v>
      </c>
      <c r="M8" s="811">
        <f>SUMPRODUCT((区片价!B234:B276=I2)*(区片价!C3:G3=E2)*(区片价!C234:G276))</f>
        <v>0</v>
      </c>
      <c r="N8" s="813">
        <f>SUMPRODUCT((因素修正幅度!B234:B276=I2)*(因素修正幅度!C3:G3=E2)*(因素修正幅度!C234:G276))</f>
        <v>0</v>
      </c>
      <c r="O8" s="1056"/>
      <c r="P8" s="1056"/>
      <c r="Q8" s="1056"/>
      <c r="R8" s="1128">
        <v>7</v>
      </c>
      <c r="S8" s="1129"/>
      <c r="T8" s="3058" t="e">
        <f t="shared" si="0"/>
        <v>#DIV/0!</v>
      </c>
      <c r="U8" s="1129"/>
      <c r="V8" s="3058" t="e">
        <f t="shared" si="1"/>
        <v>#DIV/0!</v>
      </c>
      <c r="W8" s="3569" t="s">
        <v>1954</v>
      </c>
      <c r="X8" s="3570"/>
      <c r="Y8" s="1136" t="s">
        <v>1955</v>
      </c>
      <c r="Z8" s="1136" t="s">
        <v>1956</v>
      </c>
      <c r="AA8" s="1136" t="s">
        <v>1957</v>
      </c>
      <c r="AB8" s="1136" t="s">
        <v>1958</v>
      </c>
      <c r="AC8" s="1136" t="s">
        <v>1959</v>
      </c>
      <c r="AD8" s="1136" t="s">
        <v>1960</v>
      </c>
      <c r="AE8" s="1136" t="s">
        <v>1961</v>
      </c>
      <c r="AF8" s="1136" t="s">
        <v>1962</v>
      </c>
      <c r="AG8" s="1136" t="s">
        <v>1963</v>
      </c>
      <c r="AH8" s="1136" t="s">
        <v>1964</v>
      </c>
      <c r="AI8" s="1136" t="s">
        <v>1965</v>
      </c>
      <c r="AJ8" s="1136" t="s">
        <v>1966</v>
      </c>
    </row>
    <row r="9" spans="1:36" ht="15">
      <c r="A9" s="3004"/>
      <c r="B9" s="162" t="s">
        <v>1967</v>
      </c>
      <c r="C9" s="714">
        <f>SUMIF(修正!C71:C138,C8,修正!E71:E138)</f>
        <v>0</v>
      </c>
      <c r="D9" s="163" t="s">
        <v>113</v>
      </c>
      <c r="E9" s="163" t="e">
        <f>ROUND(C11/E7,4)</f>
        <v>#DIV/0!</v>
      </c>
      <c r="F9" s="1867" t="s">
        <v>1968</v>
      </c>
      <c r="G9" s="1868"/>
      <c r="H9" s="1868"/>
      <c r="I9" s="1868"/>
      <c r="J9" s="1869"/>
      <c r="K9" s="1056"/>
      <c r="L9" s="1843" t="s">
        <v>1969</v>
      </c>
      <c r="M9" s="811">
        <f>SUMPRODUCT((区片价!B277:B326=I2)*(区片价!C3:G3=E2)*(区片价!C277:G326))</f>
        <v>0</v>
      </c>
      <c r="N9" s="813">
        <f>SUMPRODUCT((因素修正幅度!B277:B326=I2)*(因素修正幅度!C3:G3=E2)*(因素修正幅度!C277:G326))</f>
        <v>0</v>
      </c>
      <c r="O9" s="1056"/>
      <c r="P9" s="1056"/>
      <c r="Q9" s="1056"/>
      <c r="R9" s="1128">
        <v>8</v>
      </c>
      <c r="S9" s="1129"/>
      <c r="T9" s="3058" t="e">
        <f t="shared" si="0"/>
        <v>#DIV/0!</v>
      </c>
      <c r="U9" s="1129"/>
      <c r="V9" s="3058" t="e">
        <f t="shared" si="1"/>
        <v>#DIV/0!</v>
      </c>
      <c r="W9" s="3571"/>
      <c r="X9" s="3059" t="s">
        <v>3266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1970</v>
      </c>
      <c r="C10" s="163">
        <f>SUMIF(修正!C71:C138,C8,修正!F71:F138)</f>
        <v>0</v>
      </c>
      <c r="D10" s="163" t="s">
        <v>114</v>
      </c>
      <c r="E10" s="163" t="e">
        <f>ROUND(C11/E7,4)</f>
        <v>#DIV/0!</v>
      </c>
      <c r="F10" s="1867" t="s">
        <v>1971</v>
      </c>
      <c r="G10" s="1868"/>
      <c r="H10" s="1868"/>
      <c r="I10" s="1868"/>
      <c r="J10" s="1869"/>
      <c r="K10" s="1056"/>
      <c r="L10" s="1843" t="s">
        <v>1972</v>
      </c>
      <c r="M10" s="811">
        <f>SUMPRODUCT((区片价!B327:B357=I2)*(区片价!C3:G3=E2)*(区片价!C327:G357))</f>
        <v>0</v>
      </c>
      <c r="N10" s="813">
        <f>SUMPRODUCT((因素修正幅度!B327:B357=I2)*(因素修正幅度!C3:G3=E2)*(因素修正幅度!C327:G357))</f>
        <v>0</v>
      </c>
      <c r="O10" s="1056"/>
      <c r="P10" s="1056"/>
      <c r="Q10" s="1056"/>
      <c r="R10" s="1128">
        <v>9</v>
      </c>
      <c r="S10" s="1129"/>
      <c r="T10" s="3058" t="e">
        <f t="shared" si="0"/>
        <v>#DIV/0!</v>
      </c>
      <c r="U10" s="1129"/>
      <c r="V10" s="3058" t="e">
        <f t="shared" si="1"/>
        <v>#DIV/0!</v>
      </c>
      <c r="W10" s="3571"/>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0" t="s">
        <v>1973</v>
      </c>
      <c r="C11" s="715">
        <f>C10/4</f>
        <v>0</v>
      </c>
      <c r="D11" s="715" t="s">
        <v>115</v>
      </c>
      <c r="E11" s="715" t="e">
        <f>ROUND(C11/E7,4)</f>
        <v>#DIV/0!</v>
      </c>
      <c r="F11" s="1871" t="s">
        <v>1974</v>
      </c>
      <c r="G11" s="1872"/>
      <c r="H11" s="1872"/>
      <c r="I11" s="1872"/>
      <c r="J11" s="1873"/>
      <c r="K11" s="1056"/>
      <c r="L11" s="1843" t="s">
        <v>1975</v>
      </c>
      <c r="M11" s="811">
        <f>SUMPRODUCT((区片价!B358:B377=I2)*(区片价!C3:G3=E2)*(区片价!C358:G377))</f>
        <v>0</v>
      </c>
      <c r="N11" s="813">
        <f>SUMPRODUCT((因素修正幅度!B358:B377=I2)*(因素修正幅度!C3:G3=E2)*(因素修正幅度!C358:G377))</f>
        <v>0</v>
      </c>
      <c r="O11" s="1056"/>
      <c r="P11" s="1056"/>
      <c r="Q11" s="1056"/>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5" thickBot="1">
      <c r="A12" s="3007" t="s">
        <v>3236</v>
      </c>
      <c r="B12" s="3008" t="s">
        <v>3237</v>
      </c>
      <c r="C12" s="3009"/>
      <c r="D12" s="3010" t="s">
        <v>3238</v>
      </c>
      <c r="E12" s="3011" t="s">
        <v>3239</v>
      </c>
      <c r="F12" s="3012"/>
      <c r="G12" s="3013"/>
      <c r="H12" s="3013"/>
      <c r="I12" s="3013"/>
      <c r="J12" s="3014"/>
      <c r="K12" s="1056"/>
      <c r="L12" s="1792" t="s">
        <v>1978</v>
      </c>
      <c r="M12" s="812">
        <f>SUMPRODUCT((区片价!B378:B384=I2)*(区片价!C3:G3=E2)*(区片价!C378:G384))</f>
        <v>0</v>
      </c>
      <c r="N12" s="813">
        <f>SUMPRODUCT((因素修正幅度!B378:B384=I2)*(因素修正幅度!C3:G3=E2)*(因素修正幅度!C378:G384))</f>
        <v>0</v>
      </c>
      <c r="O12" s="1056"/>
      <c r="P12" s="1056"/>
      <c r="Q12" s="1056"/>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15.75" thickBot="1">
      <c r="A13" s="3007" t="s">
        <v>3240</v>
      </c>
      <c r="B13" s="1874" t="s">
        <v>1976</v>
      </c>
      <c r="C13" s="711">
        <f>ROUND(C16*D16*E16*F16*G16*H16*I16*J16,4)</f>
        <v>0</v>
      </c>
      <c r="D13" s="1875" t="s">
        <v>1977</v>
      </c>
      <c r="E13" s="1876"/>
      <c r="F13" s="1876"/>
      <c r="G13" s="1877"/>
      <c r="H13" s="1877"/>
      <c r="I13" s="1877"/>
      <c r="J13" s="1878"/>
      <c r="K13" s="1056"/>
      <c r="L13" s="3"/>
      <c r="M13" s="4"/>
      <c r="N13" s="3005"/>
      <c r="O13" s="1056"/>
      <c r="P13" s="1056"/>
      <c r="Q13" s="1056"/>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15">
      <c r="A14" s="3003"/>
      <c r="B14" s="1879" t="s">
        <v>1979</v>
      </c>
      <c r="C14" s="1880" t="s">
        <v>1980</v>
      </c>
      <c r="D14" s="1260" t="s">
        <v>1981</v>
      </c>
      <c r="E14" s="27" t="s">
        <v>1982</v>
      </c>
      <c r="F14" s="3015" t="s">
        <v>3241</v>
      </c>
      <c r="G14" s="3015" t="s">
        <v>3241</v>
      </c>
      <c r="H14" s="3015" t="s">
        <v>3241</v>
      </c>
      <c r="I14" s="3015" t="s">
        <v>3241</v>
      </c>
      <c r="J14" s="3015" t="s">
        <v>3241</v>
      </c>
      <c r="K14" s="1056"/>
      <c r="L14" s="1056"/>
      <c r="M14" s="1056"/>
      <c r="N14" s="1056"/>
      <c r="O14" s="1056"/>
      <c r="P14" s="1056"/>
      <c r="Q14" s="1056"/>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1"/>
      <c r="C15" s="1882"/>
      <c r="D15" s="1883"/>
      <c r="E15" s="1884"/>
      <c r="F15" s="1469" t="s">
        <v>3242</v>
      </c>
      <c r="G15" s="1924"/>
      <c r="H15" s="3016"/>
      <c r="I15" s="3017"/>
      <c r="J15" s="3018"/>
      <c r="K15" s="1056"/>
      <c r="L15" s="1056"/>
      <c r="M15" s="1056"/>
      <c r="N15" s="1056"/>
      <c r="O15" s="1056"/>
      <c r="P15" s="1056"/>
      <c r="Q15" s="1056"/>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75" thickBot="1">
      <c r="A16" s="3003"/>
      <c r="B16" s="3021" t="s">
        <v>1983</v>
      </c>
      <c r="C16" s="3019"/>
      <c r="D16" s="3019"/>
      <c r="E16" s="3019"/>
      <c r="F16" s="3019">
        <v>1</v>
      </c>
      <c r="G16" s="3019">
        <v>1</v>
      </c>
      <c r="H16" s="3019">
        <v>1</v>
      </c>
      <c r="I16" s="3019">
        <v>1</v>
      </c>
      <c r="J16" s="3020">
        <v>1</v>
      </c>
      <c r="K16" s="1056"/>
      <c r="L16" s="1840"/>
      <c r="M16" s="1840"/>
      <c r="N16" s="1840"/>
      <c r="O16" s="1840"/>
      <c r="P16" s="1840"/>
      <c r="Q16" s="1056"/>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c r="A17" s="3030" t="s">
        <v>3243</v>
      </c>
      <c r="B17" s="3022" t="s">
        <v>3244</v>
      </c>
      <c r="C17" s="3031">
        <f>ROUND(IF(OR(E2="工业",E2="公共服务"),1,IF(AND(E18=0,E19=0),1,IF(AND(E18=J24,E19=G19),0.8,IF(E19=0,1+E17*(-0.2),1+E17*G17*(-0.2))))),4)</f>
        <v>1</v>
      </c>
      <c r="D17" s="3023" t="s">
        <v>3245</v>
      </c>
      <c r="E17" s="3031" t="e">
        <f>ROUND(G18/I18,2)</f>
        <v>#DIV/0!</v>
      </c>
      <c r="F17" s="3023" t="s">
        <v>3248</v>
      </c>
      <c r="G17" s="3031" t="e">
        <f>ROUND(E19/G19,2)</f>
        <v>#DIV/0!</v>
      </c>
      <c r="H17" s="3031"/>
      <c r="I17" s="3031"/>
      <c r="J17" s="3032"/>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3"/>
      <c r="B18" s="2305"/>
      <c r="C18" s="3029"/>
      <c r="D18" s="3024" t="s">
        <v>3246</v>
      </c>
      <c r="E18" s="2352"/>
      <c r="F18" s="3025" t="s">
        <v>3249</v>
      </c>
      <c r="G18" s="3029">
        <f>ROUND(1-(1/(POWER(1+G24,E18))),4)</f>
        <v>0</v>
      </c>
      <c r="H18" s="3025" t="s">
        <v>3251</v>
      </c>
      <c r="I18" s="3029">
        <f>ROUND(1-(1/(POWER(1+G24,J24))),4)</f>
        <v>0</v>
      </c>
      <c r="J18" s="3034"/>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7"/>
    </row>
    <row r="19" spans="1:37" s="1854" customFormat="1" ht="15" thickBot="1">
      <c r="A19" s="3035"/>
      <c r="B19" s="3036"/>
      <c r="C19" s="3037"/>
      <c r="D19" s="3037" t="s">
        <v>3247</v>
      </c>
      <c r="E19" s="3038"/>
      <c r="F19" s="3039" t="s">
        <v>3250</v>
      </c>
      <c r="G19" s="3038"/>
      <c r="H19" s="3037"/>
      <c r="I19" s="3037"/>
      <c r="J19" s="3040"/>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0"/>
      <c r="AH19" s="1976"/>
      <c r="AI19" s="561"/>
      <c r="AJ19" s="561"/>
      <c r="AK19" s="1895"/>
    </row>
    <row r="20" spans="1:37" s="1854" customFormat="1" ht="14.25">
      <c r="A20" s="3576" t="s">
        <v>3252</v>
      </c>
      <c r="B20" s="159" t="s">
        <v>1988</v>
      </c>
      <c r="C20" s="3026" t="e">
        <f>ROUND(IF(F21="与级别开发程度一致",0,(G21-E21)/C21),0)</f>
        <v>#DIV/0!</v>
      </c>
      <c r="D20" s="3041" t="s">
        <v>1992</v>
      </c>
      <c r="E20" s="3042"/>
      <c r="F20" s="3582" t="s">
        <v>1989</v>
      </c>
      <c r="G20" s="3583"/>
      <c r="H20" s="3027"/>
      <c r="I20" s="3027"/>
      <c r="J20" s="3028"/>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4" customFormat="1" ht="15" thickBot="1">
      <c r="A21" s="3577"/>
      <c r="B21" s="1998" t="s">
        <v>1991</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4" customFormat="1" ht="15.75" thickBot="1">
      <c r="A22" s="1992" t="s">
        <v>363</v>
      </c>
      <c r="B22" s="1993" t="s">
        <v>1994</v>
      </c>
      <c r="C22" s="1994">
        <f>SUMIF(修正!C20:C51,E3,修正!E20:E51)</f>
        <v>0</v>
      </c>
      <c r="D22" s="1995"/>
      <c r="E22" s="1996"/>
      <c r="F22" s="1996"/>
      <c r="G22" s="1996"/>
      <c r="H22" s="1996"/>
      <c r="I22" s="1996"/>
      <c r="J22" s="1997"/>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6.25" thickBot="1">
      <c r="A23" s="1888" t="s">
        <v>364</v>
      </c>
      <c r="B23" s="1889" t="s">
        <v>1995</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2" t="s">
        <v>1996</v>
      </c>
      <c r="E23" s="717">
        <v>44197</v>
      </c>
      <c r="F23" s="1892" t="s">
        <v>1997</v>
      </c>
      <c r="G23" s="718">
        <f>'数据-取费表'!B2</f>
        <v>45291</v>
      </c>
      <c r="H23" s="3043" t="s">
        <v>3254</v>
      </c>
      <c r="I23" s="3044" t="str">
        <f>IF(H23="季度增幅（自定义）",SUMIF(N25:N28,E2,O25:O28),"")</f>
        <v/>
      </c>
      <c r="J23" s="3136" t="s">
        <v>3253</v>
      </c>
      <c r="K23" s="1061"/>
      <c r="L23" s="1893" t="s">
        <v>1998</v>
      </c>
      <c r="M23" s="1240">
        <f>ROUND(SUMIF(地价!B2:G2,E2,地价!B16:G16),0)</f>
        <v>0</v>
      </c>
      <c r="N23" s="1894" t="s">
        <v>1999</v>
      </c>
      <c r="O23" s="719">
        <f>ROUNDDOWN(DATEDIF(E23,G23,"M")/3,0)</f>
        <v>11</v>
      </c>
      <c r="P23" s="1057"/>
      <c r="Q23" s="2547"/>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2000</v>
      </c>
      <c r="C24" s="720" t="e">
        <f>ROUND(POWER(1+G24,J24-I24)*(POWER(1+G24,I24)-1)/(POWER(1+G24,J24)-1),4)</f>
        <v>#DIV/0!</v>
      </c>
      <c r="D24" s="1898" t="s">
        <v>2001</v>
      </c>
      <c r="E24" s="1247">
        <f>存贷款利率!E24/100</f>
        <v>4.3499999999999997E-2</v>
      </c>
      <c r="F24" s="1898" t="s">
        <v>1993</v>
      </c>
      <c r="G24" s="724">
        <f>SUMIF(M30:Q30,E2,M33:Q33)</f>
        <v>0</v>
      </c>
      <c r="H24" s="1898" t="s">
        <v>2002</v>
      </c>
      <c r="I24" s="725" t="e">
        <f>SUMIF('数据-取费表'!C6:C15,E2,'数据-取费表'!F6:F15)/COUNTIF('数据-取费表'!C6:C15,E2)</f>
        <v>#DIV/0!</v>
      </c>
      <c r="J24" s="726">
        <f>IF(E2="住宅",70,IF(E2="商业",40,50))</f>
        <v>50</v>
      </c>
      <c r="K24" s="1061"/>
      <c r="L24" s="1899" t="s">
        <v>2003</v>
      </c>
      <c r="M24" s="1241">
        <f>ROUND(SUMPRODUCT((地价!A4:A16=YEAR(G23)&amp;"-"&amp;ROUNDUP(MONTH(G23)/3,0))*(地价!B2:G2=E2)*(地价!B4:G16)),0)</f>
        <v>0</v>
      </c>
      <c r="N24" s="1900" t="s">
        <v>2004</v>
      </c>
      <c r="O24" s="1901" t="s">
        <v>2005</v>
      </c>
      <c r="P24" s="1902" t="s">
        <v>2006</v>
      </c>
      <c r="Q24" s="1840"/>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5">
      <c r="A25" s="1903" t="s">
        <v>366</v>
      </c>
      <c r="B25" s="1904" t="s">
        <v>3333</v>
      </c>
      <c r="C25" s="461">
        <f>IF(B25="容积率修正",IF(G3&lt;10,D26,J26),C27)</f>
        <v>0</v>
      </c>
      <c r="D25" s="1905"/>
      <c r="E25" s="1905"/>
      <c r="F25" s="1905"/>
      <c r="G25" s="1905"/>
      <c r="H25" s="1905"/>
      <c r="I25" s="1905"/>
      <c r="J25" s="1906"/>
      <c r="K25" s="1061"/>
      <c r="L25" s="2547"/>
      <c r="M25" s="2547"/>
      <c r="N25" s="1907" t="s">
        <v>2007</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2008</v>
      </c>
      <c r="B26" s="1908" t="s">
        <v>2009</v>
      </c>
      <c r="C26" s="1908" t="s">
        <v>3255</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3256</v>
      </c>
      <c r="J26" s="374" t="str">
        <f>IF(G3&gt;=10,D115,"——")</f>
        <v>——</v>
      </c>
      <c r="K26" s="1061"/>
      <c r="L26" s="2547"/>
      <c r="M26" s="2547"/>
      <c r="N26" s="1907" t="s">
        <v>2010</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2011</v>
      </c>
      <c r="B27" s="1909" t="s">
        <v>2012</v>
      </c>
      <c r="C27" s="791">
        <f>ROUND(IF(I3&lt;6,SUMPRODUCT((B106:B110=I3)*(C105:N105=G2)*(C106:N110)),SUMIF(C105:N105,G2,C112:N112)),4)</f>
        <v>0</v>
      </c>
      <c r="D27" s="1838"/>
      <c r="E27" s="1838"/>
      <c r="F27" s="1910"/>
      <c r="G27" s="1911"/>
      <c r="H27" s="1912"/>
      <c r="I27" s="1913"/>
      <c r="J27" s="1914"/>
      <c r="K27" s="1056"/>
      <c r="L27" s="1840"/>
      <c r="M27" s="1840"/>
      <c r="N27" s="1907" t="s">
        <v>2013</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2014</v>
      </c>
      <c r="C28" s="716">
        <f>SUMIF(A47:A101,E2,B47:B101)</f>
        <v>0</v>
      </c>
      <c r="D28" s="1890"/>
      <c r="E28" s="1915"/>
      <c r="F28" s="1915"/>
      <c r="G28" s="1915"/>
      <c r="H28" s="1915"/>
      <c r="I28" s="1915"/>
      <c r="J28" s="1916"/>
      <c r="K28" s="1061"/>
      <c r="L28" s="2547"/>
      <c r="M28" s="2547"/>
      <c r="N28" s="1917" t="s">
        <v>2015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2016</v>
      </c>
      <c r="C29" s="721"/>
      <c r="D29" s="1864"/>
      <c r="E29" s="1864"/>
      <c r="F29" s="1919"/>
      <c r="G29" s="1864"/>
      <c r="H29" s="1864"/>
      <c r="I29" s="1864"/>
      <c r="J29" s="1865"/>
      <c r="K29" s="1056"/>
      <c r="L29" s="1840"/>
      <c r="M29" s="1840"/>
      <c r="N29" s="2544" t="s">
        <v>2017</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2018</v>
      </c>
      <c r="C30" s="2141" t="e">
        <f>IF(B25="容积率修正",E33+SUM(E37:E42),SUM(V2:V16)+SUM(E37:E42))</f>
        <v>#DIV/0!</v>
      </c>
      <c r="D30" s="1921"/>
      <c r="E30" s="1838"/>
      <c r="F30" s="1922"/>
      <c r="G30" s="1838"/>
      <c r="H30" s="1838"/>
      <c r="I30" s="1838"/>
      <c r="J30" s="1923"/>
      <c r="K30" s="1056"/>
      <c r="L30" s="3050" t="s">
        <v>1930</v>
      </c>
      <c r="M30" s="3051" t="s">
        <v>1984</v>
      </c>
      <c r="N30" s="3051" t="s">
        <v>1985</v>
      </c>
      <c r="O30" s="3051" t="s">
        <v>1986</v>
      </c>
      <c r="P30" s="3051" t="s">
        <v>1987</v>
      </c>
      <c r="Q30" s="3054" t="s">
        <v>3260</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2019</v>
      </c>
      <c r="C31" s="722" t="e">
        <f>E34+SUM(I37:I42)</f>
        <v>#DIV/0!</v>
      </c>
      <c r="D31" s="1925"/>
      <c r="E31" s="1926"/>
      <c r="F31" s="1927"/>
      <c r="G31" s="1926"/>
      <c r="H31" s="1926"/>
      <c r="I31" s="1926"/>
      <c r="J31" s="1928"/>
      <c r="K31" s="1056"/>
      <c r="L31" s="3052" t="s">
        <v>1990</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2020</v>
      </c>
      <c r="C32" s="1931" t="s">
        <v>2021</v>
      </c>
      <c r="D32" s="1931" t="s">
        <v>2022</v>
      </c>
      <c r="E32" s="1932" t="s">
        <v>2023</v>
      </c>
      <c r="F32" s="1933"/>
      <c r="G32" s="1877"/>
      <c r="H32" s="1877"/>
      <c r="I32" s="1877"/>
      <c r="J32" s="1878"/>
      <c r="K32" s="1056"/>
      <c r="L32" s="3053" t="s">
        <v>1993</v>
      </c>
      <c r="M32" s="2351">
        <f>ROUND($E$24*(1+M31),3)</f>
        <v>5.3999999999999999E-2</v>
      </c>
      <c r="N32" s="2351">
        <f>ROUND($E$24*(1+N31),3)</f>
        <v>5.1999999999999998E-2</v>
      </c>
      <c r="O32" s="2351">
        <f>ROUND($E$24*(1+O31),3)</f>
        <v>0.05</v>
      </c>
      <c r="P32" s="2351">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2024</v>
      </c>
      <c r="C33" s="167" t="e">
        <f>ROUND(C5*C22*C23*C24*C25*C28,0)</f>
        <v>#DIV/0!</v>
      </c>
      <c r="D33" s="1936"/>
      <c r="E33" s="727" t="e">
        <f>ROUND(C33*D33/10000,0)</f>
        <v>#DIV/0!</v>
      </c>
      <c r="F33" s="3045" t="s">
        <v>3258</v>
      </c>
      <c r="G33" s="1937"/>
      <c r="H33" s="1937"/>
      <c r="I33" s="1937"/>
      <c r="J33" s="1938"/>
      <c r="K33" s="1056"/>
      <c r="L33" s="3048" t="s">
        <v>3261</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2025</v>
      </c>
      <c r="C34" s="179" t="e">
        <f>ROUND(IF(E2="工业",C33*M42,IF(B25="楼层修正",SUM(V2:V16)*M41*10000/D34,C33*M41)),0)</f>
        <v>#DIV/0!</v>
      </c>
      <c r="D34" s="1941"/>
      <c r="E34" s="727" t="e">
        <f>ROUND(IF(B25="楼层修正",SUM(V2:V16)*M40,C34*D34/10000),0)</f>
        <v>#DIV/0!</v>
      </c>
      <c r="F34" s="1942" t="s">
        <v>2026</v>
      </c>
      <c r="G34" s="1943"/>
      <c r="H34" s="1943"/>
      <c r="I34" s="1943"/>
      <c r="J34" s="1944"/>
      <c r="K34" s="1056"/>
      <c r="L34" s="3048" t="s">
        <v>3262</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2027</v>
      </c>
      <c r="C35" s="3046" t="s">
        <v>3259</v>
      </c>
      <c r="D35" s="1877"/>
      <c r="E35" s="1947"/>
      <c r="F35" s="1947"/>
      <c r="G35" s="1875" t="s">
        <v>2028</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2021</v>
      </c>
      <c r="D36" s="433" t="s">
        <v>2022</v>
      </c>
      <c r="E36" s="433" t="s">
        <v>2023</v>
      </c>
      <c r="F36" s="333" t="s">
        <v>2029</v>
      </c>
      <c r="G36" s="1950" t="s">
        <v>2021</v>
      </c>
      <c r="H36" s="1950" t="s">
        <v>2022</v>
      </c>
      <c r="I36" s="1950" t="s">
        <v>2023</v>
      </c>
      <c r="J36" s="235"/>
      <c r="K36" s="1960" t="s">
        <v>3263</v>
      </c>
      <c r="L36" s="3137">
        <f ca="1">'数据-取费表'!B40</f>
        <v>3.4500000000000003E-2</v>
      </c>
      <c r="M36" s="2361">
        <f ca="1">ROUND($L$36*(1+M31),3)</f>
        <v>4.2999999999999997E-2</v>
      </c>
      <c r="N36" s="2361">
        <f ca="1">ROUND($L$36*(1+N31),3)</f>
        <v>4.1000000000000002E-2</v>
      </c>
      <c r="O36" s="2361">
        <f ca="1">ROUND($L$36*(1+O31),3)</f>
        <v>0.04</v>
      </c>
      <c r="P36" s="2361">
        <f ca="1">ROUND($L$36*(1+P31),3)</f>
        <v>3.7999999999999999E-2</v>
      </c>
      <c r="Q36" s="2361">
        <f ca="1">ROUND($L$36*(1+Q31),3)</f>
        <v>0.04</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580"/>
      <c r="B37" s="1951" t="s">
        <v>2030</v>
      </c>
      <c r="C37" s="167" t="e">
        <f>ROUND(D5*C22*C23*C24*C28*F37,0)</f>
        <v>#DIV/0!</v>
      </c>
      <c r="D37" s="1936"/>
      <c r="E37" s="163" t="e">
        <f>ROUND(C37*D37/10000,0)</f>
        <v>#DIV/0!</v>
      </c>
      <c r="F37" s="163">
        <f>SUMIF(修正!A57:A68,G2,修正!B57:B68)</f>
        <v>0</v>
      </c>
      <c r="G37" s="163" t="e">
        <f>ROUND(IF(E2="工业",C37*$M$42,C37*$M$41),0)</f>
        <v>#DIV/0!</v>
      </c>
      <c r="H37" s="163">
        <f>D37</f>
        <v>0</v>
      </c>
      <c r="I37" s="163" t="e">
        <f>ROUND(G37*H37/10000,0)</f>
        <v>#DIV/0!</v>
      </c>
      <c r="J37" s="2749"/>
      <c r="K37" s="3056" t="s">
        <v>3264</v>
      </c>
      <c r="L37" s="1960">
        <f ca="1">L36+K38</f>
        <v>3.95E-2</v>
      </c>
      <c r="M37" s="2361">
        <f ca="1">ROUND($L$37*(1+M31),3)</f>
        <v>4.9000000000000002E-2</v>
      </c>
      <c r="N37" s="2361">
        <f t="shared" ref="N37:Q37" ca="1" si="3">ROUND($L$37*(1+N31),3)</f>
        <v>4.7E-2</v>
      </c>
      <c r="O37" s="2361">
        <f t="shared" ca="1" si="3"/>
        <v>4.4999999999999998E-2</v>
      </c>
      <c r="P37" s="2361">
        <f t="shared" ca="1" si="3"/>
        <v>4.2999999999999997E-2</v>
      </c>
      <c r="Q37" s="2361">
        <f t="shared" ca="1" si="3"/>
        <v>4.4999999999999998E-2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81"/>
      <c r="B38" s="1880" t="s">
        <v>2031</v>
      </c>
      <c r="C38" s="167" t="e">
        <f>ROUND(D5*C22*C23*C24*C28*F38,0)</f>
        <v>#DIV/0!</v>
      </c>
      <c r="D38" s="1936"/>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8"/>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581"/>
      <c r="B39" s="1880" t="s">
        <v>3257</v>
      </c>
      <c r="C39" s="167" t="e">
        <f>ROUND(D5*C22*C23*C24*C28*F39,0)</f>
        <v>#DIV/0!</v>
      </c>
      <c r="D39" s="1936"/>
      <c r="E39" s="163" t="e">
        <f t="shared" si="4"/>
        <v>#DIV/0!</v>
      </c>
      <c r="F39" s="163">
        <f>SUMIF(修正!A57:A68,G2,修正!D57:D68)</f>
        <v>0</v>
      </c>
      <c r="G39" s="163" t="e">
        <f>ROUND(IF(E2="工业",C39*$M$42,C39*$M$41),0)</f>
        <v>#DIV/0!</v>
      </c>
      <c r="H39" s="163">
        <f t="shared" si="5"/>
        <v>0</v>
      </c>
      <c r="I39" s="163" t="e">
        <f t="shared" si="6"/>
        <v>#DIV/0!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2032</v>
      </c>
      <c r="C40" s="163" t="e">
        <f>ROUND(D5*C22*C23*C24*C28*F40,0)</f>
        <v>#DIV/0!</v>
      </c>
      <c r="D40" s="1936"/>
      <c r="E40" s="163" t="e">
        <f t="shared" si="4"/>
        <v>#DIV/0!</v>
      </c>
      <c r="F40" s="167">
        <f>SUMIF(修正!A57:A68,G2,修正!E57:E68)</f>
        <v>0</v>
      </c>
      <c r="G40" s="163" t="e">
        <f>ROUND(IF(E2="工业",C40*$M$42,C40*$M$41),0)</f>
        <v>#DIV/0!</v>
      </c>
      <c r="H40" s="163">
        <f t="shared" si="5"/>
        <v>0</v>
      </c>
      <c r="I40" s="163" t="e">
        <f t="shared" si="6"/>
        <v>#DIV/0!</v>
      </c>
      <c r="J40" s="939"/>
      <c r="L40" s="1953" t="s">
        <v>2033</v>
      </c>
      <c r="M40" s="1954"/>
      <c r="Z40" s="1057"/>
      <c r="AA40" s="1057"/>
      <c r="AB40" s="1057"/>
      <c r="AC40" s="1057"/>
      <c r="AD40" s="1057"/>
      <c r="AE40" s="1057"/>
      <c r="AF40" s="1057"/>
      <c r="AG40" s="1057"/>
      <c r="AH40" s="1057"/>
      <c r="AI40" s="1057"/>
      <c r="AJ40" s="1057"/>
    </row>
    <row r="41" spans="1:37" s="1056" customFormat="1">
      <c r="A41" s="1952"/>
      <c r="B41" s="1880" t="s">
        <v>2034</v>
      </c>
      <c r="C41" s="163" t="e">
        <f>ROUND(D5*C22*C23*C44*C28*F41,0)</f>
        <v>#DIV/0!</v>
      </c>
      <c r="D41" s="1936"/>
      <c r="E41" s="163" t="e">
        <f t="shared" si="4"/>
        <v>#DIV/0!</v>
      </c>
      <c r="F41" s="167">
        <f>SUMIF(修正!A57:A68,G2,修正!F57:F68)</f>
        <v>0</v>
      </c>
      <c r="G41" s="163" t="e">
        <f>ROUND(IF(E2="工业",C41*$M$42,C41*$M$41),0)</f>
        <v>#DIV/0!</v>
      </c>
      <c r="H41" s="163">
        <f t="shared" si="5"/>
        <v>0</v>
      </c>
      <c r="I41" s="163" t="e">
        <f t="shared" si="6"/>
        <v>#DIV/0!</v>
      </c>
      <c r="J41" s="939"/>
      <c r="L41" s="3057" t="s">
        <v>3265</v>
      </c>
      <c r="M41" s="1955">
        <v>0.25</v>
      </c>
      <c r="Z41" s="1057"/>
      <c r="AA41" s="1057"/>
      <c r="AB41" s="1057"/>
      <c r="AC41" s="1057"/>
      <c r="AD41" s="1057"/>
      <c r="AE41" s="1057"/>
      <c r="AF41" s="1057"/>
      <c r="AG41" s="1057"/>
      <c r="AH41" s="1057"/>
      <c r="AI41" s="1057"/>
      <c r="AJ41" s="1057"/>
    </row>
    <row r="42" spans="1:37" s="1056" customFormat="1" ht="13.5" thickBot="1">
      <c r="A42" s="1939"/>
      <c r="B42" s="1956" t="s">
        <v>2035</v>
      </c>
      <c r="C42" s="179" t="e">
        <f>ROUND(D5*C22*C23*C44*C28*F42,0)</f>
        <v>#DIV/0!</v>
      </c>
      <c r="D42" s="1941"/>
      <c r="E42" s="179" t="e">
        <f t="shared" si="4"/>
        <v>#DIV/0!</v>
      </c>
      <c r="F42" s="723">
        <f>SUMIF(修正!A57:A68,G2,修正!G57:G68)</f>
        <v>0</v>
      </c>
      <c r="G42" s="179" t="e">
        <f>ROUND(IF(E2="工业",C42*$M$42,C42*$M$41),0)</f>
        <v>#DIV/0!</v>
      </c>
      <c r="H42" s="179">
        <f t="shared" si="5"/>
        <v>0</v>
      </c>
      <c r="I42" s="179" t="e">
        <f t="shared" si="6"/>
        <v>#DIV/0!</v>
      </c>
      <c r="J42" s="1957"/>
      <c r="L42" s="1958" t="s">
        <v>1987</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2116</v>
      </c>
      <c r="C44" s="333" t="e">
        <f>ROUND(POWER(1+E44,H44-G44)*(POWER(1+E44,G44)-1)/(POWER(1+E44,H44)-1),4)</f>
        <v>#DIV/0!</v>
      </c>
      <c r="D44" s="163" t="s">
        <v>1993</v>
      </c>
      <c r="E44" s="1987">
        <f>G24</f>
        <v>0</v>
      </c>
      <c r="F44" s="163" t="s">
        <v>2002</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2036</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3" t="s">
        <v>2037</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6" t="s">
        <v>2038</v>
      </c>
      <c r="B49" s="1261" t="s">
        <v>2039</v>
      </c>
      <c r="C49" s="1261" t="s">
        <v>2040</v>
      </c>
      <c r="D49" s="1261" t="s">
        <v>2041</v>
      </c>
      <c r="E49" s="701" t="s">
        <v>2042</v>
      </c>
      <c r="F49" s="1967" t="s">
        <v>2043</v>
      </c>
      <c r="G49" s="1261" t="s">
        <v>310</v>
      </c>
      <c r="H49" s="1968" t="s">
        <v>2044</v>
      </c>
      <c r="I49" s="1261" t="s">
        <v>2045</v>
      </c>
      <c r="J49" s="530" t="s">
        <v>1715</v>
      </c>
      <c r="K49" s="530" t="s">
        <v>1716</v>
      </c>
      <c r="L49" s="530" t="s">
        <v>1717</v>
      </c>
      <c r="M49" s="530" t="s">
        <v>1718</v>
      </c>
      <c r="N49" s="530" t="s">
        <v>1719</v>
      </c>
      <c r="AA49" s="1057"/>
      <c r="AB49" s="1057"/>
      <c r="AC49" s="1057"/>
      <c r="AD49" s="1057"/>
      <c r="AE49" s="1057"/>
      <c r="AF49" s="1057"/>
      <c r="AG49" s="1057"/>
      <c r="AH49" s="1057"/>
      <c r="AI49" s="1057"/>
      <c r="AJ49" s="1057"/>
      <c r="AK49" s="1057"/>
    </row>
    <row r="50" spans="1:37" s="1056" customFormat="1" ht="38.25">
      <c r="A50" s="1966" t="s">
        <v>2046</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6" t="s">
        <v>2047</v>
      </c>
      <c r="B51" s="1261" t="str">
        <f>估价对象房地状况!C18</f>
        <v>估价对象周边道路状况、公共交通通达情况、停车便捷程度，综合评价交通便捷度较好</v>
      </c>
      <c r="C51" s="1883"/>
      <c r="D51" s="1002">
        <f t="shared" si="7"/>
        <v>0</v>
      </c>
      <c r="E51" s="703"/>
      <c r="F51" s="1674"/>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5" t="s">
        <v>3267</v>
      </c>
      <c r="B52" s="1261">
        <f>估价对象房地状况!C19</f>
        <v>0</v>
      </c>
      <c r="C52" s="1883"/>
      <c r="D52" s="1002">
        <f t="shared" si="7"/>
        <v>0</v>
      </c>
      <c r="E52" s="703"/>
      <c r="F52" s="1674"/>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6" t="s">
        <v>2048</v>
      </c>
      <c r="B53" s="1970" t="s">
        <v>2049</v>
      </c>
      <c r="C53" s="1883"/>
      <c r="D53" s="1002">
        <f t="shared" si="7"/>
        <v>0</v>
      </c>
      <c r="E53" s="703"/>
      <c r="F53" s="1674"/>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6" t="s">
        <v>2050</v>
      </c>
      <c r="B54" s="1261">
        <f>估价对象房地状况!C24</f>
        <v>0</v>
      </c>
      <c r="C54" s="1883"/>
      <c r="D54" s="1002">
        <f t="shared" si="7"/>
        <v>0</v>
      </c>
      <c r="E54" s="703"/>
      <c r="F54" s="1674"/>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6" t="s">
        <v>2051</v>
      </c>
      <c r="B55" s="1971" t="s">
        <v>2052</v>
      </c>
      <c r="C55" s="1883"/>
      <c r="D55" s="1002">
        <f t="shared" si="7"/>
        <v>0</v>
      </c>
      <c r="E55" s="703"/>
      <c r="F55" s="1674"/>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2" t="s">
        <v>2053</v>
      </c>
      <c r="B56" s="1239" t="str">
        <f>估价对象房地状况!C21</f>
        <v>估价对象所在区域公共配套设施齐备情况</v>
      </c>
      <c r="C56" s="1883"/>
      <c r="D56" s="1002">
        <f t="shared" si="7"/>
        <v>0</v>
      </c>
      <c r="E56" s="703"/>
      <c r="F56" s="1674"/>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2" t="s">
        <v>2054</v>
      </c>
      <c r="B57" s="1261" t="str">
        <f>估价对象房地状况!C22</f>
        <v>估价对象所在区域基础设施水平</v>
      </c>
      <c r="C57" s="1883"/>
      <c r="D57" s="1002">
        <f t="shared" si="7"/>
        <v>0</v>
      </c>
      <c r="E57" s="703"/>
      <c r="F57" s="1674"/>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3" t="s">
        <v>2055</v>
      </c>
      <c r="B58" s="1974" t="str">
        <f>估价对象房地状况!C20</f>
        <v>区域自然环境：；人文环境；综合评价环境状况一般</v>
      </c>
      <c r="C58" s="1883"/>
      <c r="D58" s="1002">
        <f t="shared" si="7"/>
        <v>0</v>
      </c>
      <c r="E58" s="704"/>
      <c r="F58" s="1674"/>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3" t="s">
        <v>2056</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6" t="s">
        <v>2038</v>
      </c>
      <c r="B60" s="1261"/>
      <c r="C60" s="1261" t="s">
        <v>2040</v>
      </c>
      <c r="D60" s="1261" t="s">
        <v>2041</v>
      </c>
      <c r="E60" s="701" t="s">
        <v>2042</v>
      </c>
      <c r="F60" s="1967" t="s">
        <v>2057</v>
      </c>
      <c r="G60" s="1261" t="s">
        <v>310</v>
      </c>
      <c r="H60" s="1968" t="s">
        <v>2044</v>
      </c>
      <c r="I60" s="1261" t="s">
        <v>2045</v>
      </c>
      <c r="J60" s="530" t="s">
        <v>1715</v>
      </c>
      <c r="K60" s="530" t="s">
        <v>1716</v>
      </c>
      <c r="L60" s="530" t="s">
        <v>1717</v>
      </c>
      <c r="M60" s="530" t="s">
        <v>1718</v>
      </c>
      <c r="N60" s="530" t="s">
        <v>1719</v>
      </c>
      <c r="AA60" s="1057"/>
      <c r="AB60" s="1057"/>
      <c r="AC60" s="1057"/>
      <c r="AD60" s="1057"/>
      <c r="AE60" s="1057"/>
      <c r="AF60" s="1057"/>
      <c r="AG60" s="1057"/>
      <c r="AH60" s="1057"/>
      <c r="AI60" s="1057"/>
      <c r="AJ60" s="1057"/>
      <c r="AK60" s="1057"/>
    </row>
    <row r="61" spans="1:37" s="1056" customFormat="1" ht="38.25">
      <c r="A61" s="1966" t="s">
        <v>2058</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6" t="s">
        <v>2047</v>
      </c>
      <c r="B62" s="1261" t="str">
        <f>估价对象房地状况!C18</f>
        <v>估价对象周边道路状况、公共交通通达情况、停车便捷程度，综合评价交通便捷度较好</v>
      </c>
      <c r="C62" s="1883"/>
      <c r="D62" s="1002">
        <f t="shared" si="12"/>
        <v>0</v>
      </c>
      <c r="E62" s="703"/>
      <c r="F62" s="1674"/>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5" t="s">
        <v>3267</v>
      </c>
      <c r="B63" s="1261">
        <f>估价对象房地状况!C19</f>
        <v>0</v>
      </c>
      <c r="C63" s="1883"/>
      <c r="D63" s="1002">
        <f t="shared" si="12"/>
        <v>0</v>
      </c>
      <c r="E63" s="703"/>
      <c r="F63" s="1674"/>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6" t="s">
        <v>2048</v>
      </c>
      <c r="B64" s="1970" t="s">
        <v>2049</v>
      </c>
      <c r="C64" s="1883"/>
      <c r="D64" s="1002">
        <f t="shared" si="12"/>
        <v>0</v>
      </c>
      <c r="E64" s="703"/>
      <c r="F64" s="1674"/>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6" t="s">
        <v>2050</v>
      </c>
      <c r="B65" s="1261">
        <f>估价对象房地状况!C24</f>
        <v>0</v>
      </c>
      <c r="C65" s="1883"/>
      <c r="D65" s="1002">
        <f t="shared" si="12"/>
        <v>0</v>
      </c>
      <c r="E65" s="703"/>
      <c r="F65" s="1674"/>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6" t="s">
        <v>2051</v>
      </c>
      <c r="B66" s="1971" t="s">
        <v>2052</v>
      </c>
      <c r="C66" s="1883"/>
      <c r="D66" s="1002">
        <f t="shared" si="12"/>
        <v>0</v>
      </c>
      <c r="E66" s="703"/>
      <c r="F66" s="1674"/>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6" t="s">
        <v>2053</v>
      </c>
      <c r="B67" s="1239" t="str">
        <f>估价对象房地状况!C21</f>
        <v>估价对象所在区域公共配套设施齐备情况</v>
      </c>
      <c r="C67" s="1883"/>
      <c r="D67" s="1002">
        <f t="shared" si="12"/>
        <v>0</v>
      </c>
      <c r="E67" s="703"/>
      <c r="F67" s="1674"/>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6" t="s">
        <v>2054</v>
      </c>
      <c r="B68" s="1239" t="str">
        <f>估价对象房地状况!C22</f>
        <v>估价对象所在区域基础设施水平</v>
      </c>
      <c r="C68" s="1883"/>
      <c r="D68" s="1002">
        <f t="shared" si="12"/>
        <v>0</v>
      </c>
      <c r="E68" s="703"/>
      <c r="F68" s="1674"/>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3" t="s">
        <v>2055</v>
      </c>
      <c r="B69" s="1975" t="str">
        <f>估价对象房地状况!C20</f>
        <v>区域自然环境：；人文环境；综合评价环境状况一般</v>
      </c>
      <c r="C69" s="1883"/>
      <c r="D69" s="1002">
        <f t="shared" si="12"/>
        <v>0</v>
      </c>
      <c r="E69" s="704"/>
      <c r="F69" s="1674"/>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3" t="s">
        <v>2059</v>
      </c>
      <c r="B70" s="1964">
        <f>1+E72</f>
        <v>1</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2038</v>
      </c>
      <c r="B71" s="1261"/>
      <c r="C71" s="1261" t="s">
        <v>2040</v>
      </c>
      <c r="D71" s="1261" t="s">
        <v>2041</v>
      </c>
      <c r="E71" s="701" t="s">
        <v>2042</v>
      </c>
      <c r="F71" s="1967" t="s">
        <v>2057</v>
      </c>
      <c r="G71" s="1261" t="s">
        <v>310</v>
      </c>
      <c r="H71" s="1968" t="s">
        <v>2044</v>
      </c>
      <c r="I71" s="1261" t="s">
        <v>2045</v>
      </c>
      <c r="J71" s="530" t="s">
        <v>1715</v>
      </c>
      <c r="K71" s="530" t="s">
        <v>1716</v>
      </c>
      <c r="L71" s="530" t="s">
        <v>1717</v>
      </c>
      <c r="M71" s="530" t="s">
        <v>1718</v>
      </c>
      <c r="N71" s="530" t="s">
        <v>1719</v>
      </c>
      <c r="AA71" s="1057"/>
      <c r="AB71" s="1057"/>
      <c r="AC71" s="1057"/>
      <c r="AD71" s="1057"/>
      <c r="AE71" s="1057"/>
      <c r="AF71" s="1057"/>
      <c r="AG71" s="1057"/>
      <c r="AH71" s="1057"/>
      <c r="AI71" s="1057"/>
      <c r="AJ71" s="1057"/>
      <c r="AK71" s="1057"/>
    </row>
    <row r="72" spans="1:37" s="1056" customFormat="1" ht="51">
      <c r="A72" s="1966" t="s">
        <v>2060</v>
      </c>
      <c r="B72" s="1969" t="str">
        <f>估价对象房地状况!C15</f>
        <v>估价对象周边居住用地比例、居住小区规模和社区发展完善程度，综合评价居住社区成熟度一般</v>
      </c>
      <c r="C72" s="1883"/>
      <c r="D72" s="1002">
        <f t="shared" ref="D72:D80" si="17">SUMIF($J$71:$N$71,C72,J72:N72)</f>
        <v>0</v>
      </c>
      <c r="E72" s="702">
        <f>ROUND(SUM(D72:D80),4)</f>
        <v>0</v>
      </c>
      <c r="F72" s="1674"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6" t="s">
        <v>2047</v>
      </c>
      <c r="B73" s="1261" t="str">
        <f>估价对象房地状况!C18</f>
        <v>估价对象周边道路状况、公共交通通达情况、停车便捷程度，综合评价交通便捷度较好</v>
      </c>
      <c r="C73" s="1883"/>
      <c r="D73" s="1002">
        <f t="shared" si="17"/>
        <v>0</v>
      </c>
      <c r="E73" s="705"/>
      <c r="F73" s="1674"/>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0" customFormat="1" ht="36">
      <c r="A74" s="3065" t="s">
        <v>3267</v>
      </c>
      <c r="B74" s="1261">
        <f>估价对象房地状况!C19</f>
        <v>0</v>
      </c>
      <c r="C74" s="1883"/>
      <c r="D74" s="1002">
        <f t="shared" si="17"/>
        <v>0</v>
      </c>
      <c r="E74" s="705"/>
      <c r="F74" s="1674"/>
      <c r="G74" s="1000"/>
      <c r="H74" s="1003" t="str">
        <f t="shared" si="18"/>
        <v>——</v>
      </c>
      <c r="I74" s="3063">
        <v>0.1</v>
      </c>
      <c r="J74" s="1001">
        <f t="shared" si="19"/>
        <v>0</v>
      </c>
      <c r="K74" s="1001">
        <f t="shared" si="20"/>
        <v>0</v>
      </c>
      <c r="L74" s="1001">
        <v>0</v>
      </c>
      <c r="M74" s="1001">
        <f t="shared" si="21"/>
        <v>0</v>
      </c>
      <c r="N74" s="1001">
        <f t="shared" si="21"/>
        <v>0</v>
      </c>
      <c r="O74" s="1056"/>
      <c r="P74" s="1056"/>
      <c r="Q74" s="1056"/>
      <c r="AA74" s="1976"/>
      <c r="AB74" s="1057"/>
      <c r="AC74" s="1057"/>
      <c r="AD74" s="1057"/>
      <c r="AE74" s="1057"/>
      <c r="AF74" s="1057"/>
      <c r="AG74" s="1057"/>
      <c r="AH74" s="1976"/>
      <c r="AI74" s="1976"/>
      <c r="AJ74" s="1976"/>
      <c r="AK74" s="1976"/>
    </row>
    <row r="75" spans="1:37" ht="14.25">
      <c r="A75" s="1966" t="s">
        <v>2061</v>
      </c>
      <c r="B75" s="1261">
        <f>估价对象房地状况!C24</f>
        <v>0</v>
      </c>
      <c r="C75" s="1883"/>
      <c r="D75" s="1002">
        <f t="shared" si="17"/>
        <v>0</v>
      </c>
      <c r="E75" s="705"/>
      <c r="F75" s="1674"/>
      <c r="G75" s="1000"/>
      <c r="H75" s="1003" t="str">
        <f t="shared" si="18"/>
        <v>——</v>
      </c>
      <c r="I75" s="3063">
        <v>0.05</v>
      </c>
      <c r="J75" s="1001">
        <f t="shared" si="19"/>
        <v>0</v>
      </c>
      <c r="K75" s="1001">
        <f t="shared" si="20"/>
        <v>0</v>
      </c>
      <c r="L75" s="1001">
        <v>0</v>
      </c>
      <c r="M75" s="1001">
        <f t="shared" si="21"/>
        <v>0</v>
      </c>
      <c r="N75" s="1001">
        <f t="shared" si="21"/>
        <v>0</v>
      </c>
      <c r="O75" s="1056"/>
      <c r="P75" s="1056"/>
      <c r="Q75" s="1840"/>
      <c r="Z75" s="1841"/>
      <c r="AA75" s="1891"/>
      <c r="AG75" s="1058"/>
      <c r="AK75" s="1891"/>
    </row>
    <row r="76" spans="1:37" ht="25.5">
      <c r="A76" s="1966" t="s">
        <v>2053</v>
      </c>
      <c r="B76" s="1239" t="str">
        <f>估价对象房地状况!C21</f>
        <v>估价对象所在区域公共配套设施齐备情况</v>
      </c>
      <c r="C76" s="1883"/>
      <c r="D76" s="1002">
        <f t="shared" si="17"/>
        <v>0</v>
      </c>
      <c r="E76" s="705"/>
      <c r="F76" s="1674"/>
      <c r="G76" s="1000"/>
      <c r="H76" s="1003" t="str">
        <f t="shared" si="18"/>
        <v>——</v>
      </c>
      <c r="I76" s="3063">
        <v>0.08</v>
      </c>
      <c r="J76" s="1001">
        <f t="shared" si="19"/>
        <v>0</v>
      </c>
      <c r="K76" s="1001">
        <f t="shared" si="20"/>
        <v>0</v>
      </c>
      <c r="L76" s="1001">
        <v>0</v>
      </c>
      <c r="M76" s="1001">
        <f t="shared" si="21"/>
        <v>0</v>
      </c>
      <c r="N76" s="1001">
        <f t="shared" si="21"/>
        <v>0</v>
      </c>
      <c r="O76" s="1056"/>
      <c r="P76" s="1056"/>
      <c r="Z76" s="1841"/>
      <c r="AA76" s="1891"/>
      <c r="AG76" s="1058"/>
      <c r="AK76" s="1891"/>
    </row>
    <row r="77" spans="1:37" ht="25.5">
      <c r="A77" s="1966" t="s">
        <v>2054</v>
      </c>
      <c r="B77" s="1239" t="str">
        <f>估价对象房地状况!C22</f>
        <v>估价对象所在区域基础设施水平</v>
      </c>
      <c r="C77" s="1883"/>
      <c r="D77" s="1002">
        <f t="shared" si="17"/>
        <v>0</v>
      </c>
      <c r="E77" s="705"/>
      <c r="F77" s="1674"/>
      <c r="G77" s="1000"/>
      <c r="H77" s="1003" t="str">
        <f t="shared" si="18"/>
        <v>——</v>
      </c>
      <c r="I77" s="3063">
        <v>0.09</v>
      </c>
      <c r="J77" s="1001">
        <f t="shared" si="19"/>
        <v>0</v>
      </c>
      <c r="K77" s="1001">
        <f t="shared" si="20"/>
        <v>0</v>
      </c>
      <c r="L77" s="1001">
        <v>0</v>
      </c>
      <c r="M77" s="1001">
        <f t="shared" si="21"/>
        <v>0</v>
      </c>
      <c r="N77" s="1001">
        <f t="shared" si="21"/>
        <v>0</v>
      </c>
      <c r="O77" s="1056"/>
      <c r="P77" s="1056"/>
      <c r="Z77" s="1841"/>
      <c r="AA77" s="1891"/>
      <c r="AG77" s="1058"/>
      <c r="AK77" s="1891"/>
    </row>
    <row r="78" spans="1:37" ht="24">
      <c r="A78" s="1966" t="s">
        <v>2051</v>
      </c>
      <c r="B78" s="1971" t="s">
        <v>2052</v>
      </c>
      <c r="C78" s="1883"/>
      <c r="D78" s="1002">
        <f t="shared" si="17"/>
        <v>0</v>
      </c>
      <c r="E78" s="705"/>
      <c r="F78" s="1674"/>
      <c r="G78" s="1000"/>
      <c r="H78" s="1003" t="str">
        <f t="shared" si="18"/>
        <v>——</v>
      </c>
      <c r="I78" s="3063">
        <v>0.05</v>
      </c>
      <c r="J78" s="1001">
        <f t="shared" si="19"/>
        <v>0</v>
      </c>
      <c r="K78" s="1001">
        <f t="shared" si="20"/>
        <v>0</v>
      </c>
      <c r="L78" s="1001">
        <v>0</v>
      </c>
      <c r="M78" s="1001">
        <f t="shared" si="21"/>
        <v>0</v>
      </c>
      <c r="N78" s="1001">
        <f t="shared" si="21"/>
        <v>0</v>
      </c>
      <c r="O78" s="1840"/>
      <c r="P78" s="1840"/>
      <c r="Z78" s="1841"/>
      <c r="AA78" s="1891"/>
      <c r="AG78" s="1058"/>
      <c r="AK78" s="1891"/>
    </row>
    <row r="79" spans="1:37" ht="25.5">
      <c r="A79" s="1966" t="s">
        <v>2055</v>
      </c>
      <c r="B79" s="1969" t="str">
        <f>估价对象房地状况!C20</f>
        <v>区域自然环境：；人文环境；综合评价环境状况一般</v>
      </c>
      <c r="C79" s="1883"/>
      <c r="D79" s="1002">
        <f t="shared" si="17"/>
        <v>0</v>
      </c>
      <c r="E79" s="705"/>
      <c r="F79" s="1674"/>
      <c r="G79" s="1000"/>
      <c r="H79" s="1003" t="str">
        <f t="shared" si="18"/>
        <v>——</v>
      </c>
      <c r="I79" s="3063">
        <v>0.12</v>
      </c>
      <c r="J79" s="1001">
        <f t="shared" si="19"/>
        <v>0</v>
      </c>
      <c r="K79" s="1001">
        <f t="shared" si="20"/>
        <v>0</v>
      </c>
      <c r="L79" s="1001">
        <v>0</v>
      </c>
      <c r="M79" s="1001">
        <f t="shared" si="21"/>
        <v>0</v>
      </c>
      <c r="N79" s="1001">
        <f t="shared" si="21"/>
        <v>0</v>
      </c>
      <c r="Z79" s="1841"/>
      <c r="AA79" s="1891"/>
      <c r="AG79" s="1058"/>
      <c r="AK79" s="1891"/>
    </row>
    <row r="80" spans="1:37" ht="24.75" thickBot="1">
      <c r="A80" s="1973" t="s">
        <v>2062</v>
      </c>
      <c r="B80" s="1977"/>
      <c r="C80" s="1883"/>
      <c r="D80" s="1002">
        <f t="shared" si="17"/>
        <v>0</v>
      </c>
      <c r="E80" s="706"/>
      <c r="F80" s="1674"/>
      <c r="G80" s="1000"/>
      <c r="H80" s="1003" t="str">
        <f t="shared" si="18"/>
        <v>——</v>
      </c>
      <c r="I80" s="3064">
        <v>0.05</v>
      </c>
      <c r="J80" s="1001">
        <f t="shared" si="19"/>
        <v>0</v>
      </c>
      <c r="K80" s="1001">
        <f t="shared" si="20"/>
        <v>0</v>
      </c>
      <c r="L80" s="1001">
        <v>0</v>
      </c>
      <c r="M80" s="1001">
        <f t="shared" si="21"/>
        <v>0</v>
      </c>
      <c r="N80" s="1001">
        <f t="shared" si="21"/>
        <v>0</v>
      </c>
      <c r="Z80" s="1841"/>
      <c r="AA80" s="1891"/>
      <c r="AG80" s="1058"/>
      <c r="AK80" s="1891"/>
    </row>
    <row r="81" spans="1:37" ht="15">
      <c r="A81" s="1963" t="s">
        <v>2063</v>
      </c>
      <c r="B81" s="1964">
        <f>1+E83</f>
        <v>1</v>
      </c>
      <c r="C81" s="699"/>
      <c r="D81" s="699"/>
      <c r="E81" s="700"/>
      <c r="F81" s="1965"/>
      <c r="G81" s="3"/>
      <c r="H81" s="3"/>
      <c r="I81" s="3"/>
      <c r="J81" s="4"/>
      <c r="K81" s="4"/>
      <c r="L81" s="4"/>
      <c r="M81" s="4"/>
      <c r="N81" s="4"/>
      <c r="Z81" s="1841"/>
      <c r="AA81" s="1891"/>
      <c r="AG81" s="1058"/>
      <c r="AK81" s="1891"/>
    </row>
    <row r="82" spans="1:37" ht="24.75">
      <c r="A82" s="1966" t="s">
        <v>2038</v>
      </c>
      <c r="B82" s="1261"/>
      <c r="C82" s="1261" t="s">
        <v>2040</v>
      </c>
      <c r="D82" s="1261" t="s">
        <v>2041</v>
      </c>
      <c r="E82" s="701" t="s">
        <v>2042</v>
      </c>
      <c r="F82" s="1967" t="s">
        <v>2057</v>
      </c>
      <c r="G82" s="1261" t="s">
        <v>310</v>
      </c>
      <c r="H82" s="1968" t="s">
        <v>2044</v>
      </c>
      <c r="I82" s="1261" t="s">
        <v>2045</v>
      </c>
      <c r="J82" s="530" t="s">
        <v>1715</v>
      </c>
      <c r="K82" s="530" t="s">
        <v>1716</v>
      </c>
      <c r="L82" s="530" t="s">
        <v>1717</v>
      </c>
      <c r="M82" s="530" t="s">
        <v>1718</v>
      </c>
      <c r="N82" s="530" t="s">
        <v>1719</v>
      </c>
      <c r="Z82" s="1841"/>
      <c r="AA82" s="1891"/>
      <c r="AG82" s="1058"/>
      <c r="AK82" s="1891"/>
    </row>
    <row r="83" spans="1:37" ht="38.25">
      <c r="A83" s="1966" t="s">
        <v>2064</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38.25">
      <c r="A84" s="1966" t="s">
        <v>2047</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3">
        <v>0.3</v>
      </c>
      <c r="J84" s="1001">
        <f t="shared" si="24"/>
        <v>0</v>
      </c>
      <c r="K84" s="1001">
        <f t="shared" si="25"/>
        <v>0</v>
      </c>
      <c r="L84" s="1001">
        <v>0</v>
      </c>
      <c r="M84" s="1001">
        <f t="shared" si="26"/>
        <v>0</v>
      </c>
      <c r="N84" s="1001">
        <f t="shared" si="26"/>
        <v>0</v>
      </c>
      <c r="Z84" s="1841"/>
      <c r="AA84" s="1891"/>
      <c r="AG84" s="1058"/>
      <c r="AK84" s="1891"/>
    </row>
    <row r="85" spans="1:37" ht="36">
      <c r="A85" s="3065" t="s">
        <v>3268</v>
      </c>
      <c r="B85" s="1261">
        <f>估价对象房地状况!G17</f>
        <v>0</v>
      </c>
      <c r="C85" s="1883"/>
      <c r="D85" s="1002">
        <f t="shared" si="22"/>
        <v>0</v>
      </c>
      <c r="E85" s="705"/>
      <c r="F85" s="1674"/>
      <c r="G85" s="1000"/>
      <c r="H85" s="1003" t="str">
        <f t="shared" si="23"/>
        <v>——</v>
      </c>
      <c r="I85" s="3063">
        <v>0.1</v>
      </c>
      <c r="J85" s="1001">
        <f t="shared" si="24"/>
        <v>0</v>
      </c>
      <c r="K85" s="1001">
        <f t="shared" si="25"/>
        <v>0</v>
      </c>
      <c r="L85" s="1001">
        <v>0</v>
      </c>
      <c r="M85" s="1001">
        <f t="shared" si="26"/>
        <v>0</v>
      </c>
      <c r="N85" s="1001">
        <f t="shared" si="26"/>
        <v>0</v>
      </c>
      <c r="Z85" s="1841"/>
      <c r="AA85" s="1891"/>
      <c r="AG85" s="1058"/>
      <c r="AK85" s="1891"/>
    </row>
    <row r="86" spans="1:37" ht="14.25">
      <c r="A86" s="1966" t="s">
        <v>2061</v>
      </c>
      <c r="B86" s="1261">
        <f>估价对象房地状况!G22</f>
        <v>0</v>
      </c>
      <c r="C86" s="1883"/>
      <c r="D86" s="1002">
        <f t="shared" si="22"/>
        <v>0</v>
      </c>
      <c r="E86" s="705"/>
      <c r="F86" s="1674"/>
      <c r="G86" s="1000"/>
      <c r="H86" s="1003" t="str">
        <f t="shared" si="23"/>
        <v>——</v>
      </c>
      <c r="I86" s="3063">
        <v>0.05</v>
      </c>
      <c r="J86" s="1001">
        <f t="shared" si="24"/>
        <v>0</v>
      </c>
      <c r="K86" s="1001">
        <f t="shared" si="25"/>
        <v>0</v>
      </c>
      <c r="L86" s="1001">
        <v>0</v>
      </c>
      <c r="M86" s="1001">
        <f t="shared" si="26"/>
        <v>0</v>
      </c>
      <c r="N86" s="1001">
        <f t="shared" si="26"/>
        <v>0</v>
      </c>
      <c r="Z86" s="1841"/>
      <c r="AA86" s="1891"/>
      <c r="AG86" s="1058"/>
      <c r="AK86" s="1891"/>
    </row>
    <row r="87" spans="1:37" ht="25.5">
      <c r="A87" s="1966" t="s">
        <v>2053</v>
      </c>
      <c r="B87" s="1239" t="str">
        <f>估价对象房地状况!G19</f>
        <v>估价对象所在区域公共配套设施齐备情况</v>
      </c>
      <c r="C87" s="1883"/>
      <c r="D87" s="1002">
        <f t="shared" si="22"/>
        <v>0</v>
      </c>
      <c r="E87" s="705"/>
      <c r="F87" s="1674"/>
      <c r="G87" s="1000"/>
      <c r="H87" s="1003" t="str">
        <f t="shared" si="23"/>
        <v>——</v>
      </c>
      <c r="I87" s="3063">
        <v>0.06</v>
      </c>
      <c r="J87" s="1001">
        <f t="shared" si="24"/>
        <v>0</v>
      </c>
      <c r="K87" s="1001">
        <f t="shared" si="25"/>
        <v>0</v>
      </c>
      <c r="L87" s="1001">
        <v>0</v>
      </c>
      <c r="M87" s="1001">
        <f t="shared" si="26"/>
        <v>0</v>
      </c>
      <c r="N87" s="1001">
        <f t="shared" si="26"/>
        <v>0</v>
      </c>
    </row>
    <row r="88" spans="1:37" ht="25.5">
      <c r="A88" s="1966" t="s">
        <v>2054</v>
      </c>
      <c r="B88" s="1239" t="str">
        <f>估价对象房地状况!G20</f>
        <v>估价对象所在区域基础设施水平</v>
      </c>
      <c r="C88" s="1883"/>
      <c r="D88" s="1002">
        <f t="shared" si="22"/>
        <v>0</v>
      </c>
      <c r="E88" s="705"/>
      <c r="F88" s="1674"/>
      <c r="G88" s="1000"/>
      <c r="H88" s="1003" t="str">
        <f t="shared" si="23"/>
        <v>——</v>
      </c>
      <c r="I88" s="3063">
        <v>0.12</v>
      </c>
      <c r="J88" s="1001">
        <f t="shared" si="24"/>
        <v>0</v>
      </c>
      <c r="K88" s="1001">
        <f t="shared" si="25"/>
        <v>0</v>
      </c>
      <c r="L88" s="1001">
        <v>0</v>
      </c>
      <c r="M88" s="1001">
        <f t="shared" si="26"/>
        <v>0</v>
      </c>
      <c r="N88" s="1001">
        <f t="shared" si="26"/>
        <v>0</v>
      </c>
    </row>
    <row r="89" spans="1:37" ht="24">
      <c r="A89" s="1966" t="s">
        <v>2051</v>
      </c>
      <c r="B89" s="1971" t="s">
        <v>2065</v>
      </c>
      <c r="C89" s="1883"/>
      <c r="D89" s="1002">
        <f t="shared" si="22"/>
        <v>0</v>
      </c>
      <c r="E89" s="705"/>
      <c r="F89" s="1674"/>
      <c r="G89" s="1000"/>
      <c r="H89" s="1003" t="str">
        <f t="shared" si="23"/>
        <v>——</v>
      </c>
      <c r="I89" s="3063">
        <v>0.06</v>
      </c>
      <c r="J89" s="1001">
        <f t="shared" si="24"/>
        <v>0</v>
      </c>
      <c r="K89" s="1001">
        <f t="shared" si="25"/>
        <v>0</v>
      </c>
      <c r="L89" s="1001">
        <v>0</v>
      </c>
      <c r="M89" s="1001">
        <f t="shared" si="26"/>
        <v>0</v>
      </c>
      <c r="N89" s="1001">
        <f t="shared" si="26"/>
        <v>0</v>
      </c>
    </row>
    <row r="90" spans="1:37" ht="39" thickBot="1">
      <c r="A90" s="1973" t="s">
        <v>2066</v>
      </c>
      <c r="B90" s="1978" t="str">
        <f>估价对象房地状况!G18</f>
        <v>该园区内是否有污染型企业，绿化情况，卫生条件，整体环境状况判断</v>
      </c>
      <c r="C90" s="1883"/>
      <c r="D90" s="1002">
        <f t="shared" si="22"/>
        <v>0</v>
      </c>
      <c r="E90" s="706"/>
      <c r="F90" s="1674"/>
      <c r="G90" s="1000"/>
      <c r="H90" s="1003" t="str">
        <f t="shared" si="23"/>
        <v>——</v>
      </c>
      <c r="I90" s="3064">
        <v>0.05</v>
      </c>
      <c r="J90" s="1001">
        <f t="shared" si="24"/>
        <v>0</v>
      </c>
      <c r="K90" s="1001">
        <f t="shared" si="25"/>
        <v>0</v>
      </c>
      <c r="L90" s="1001">
        <v>0</v>
      </c>
      <c r="M90" s="1001">
        <f t="shared" si="26"/>
        <v>0</v>
      </c>
      <c r="N90" s="1001">
        <f t="shared" si="26"/>
        <v>0</v>
      </c>
    </row>
    <row r="91" spans="1:37" ht="15">
      <c r="A91" s="3073" t="s">
        <v>2610</v>
      </c>
      <c r="B91" s="3074">
        <f>1+E93</f>
        <v>1</v>
      </c>
      <c r="C91" s="3067"/>
      <c r="D91" s="3068"/>
      <c r="E91" s="1674"/>
      <c r="F91" s="1674"/>
      <c r="G91" s="3069"/>
      <c r="H91" s="3070"/>
      <c r="I91" s="3071"/>
      <c r="J91" s="3072"/>
      <c r="K91" s="3072"/>
      <c r="L91" s="3072"/>
      <c r="M91" s="3072"/>
      <c r="N91" s="3072"/>
    </row>
    <row r="92" spans="1:37" ht="24.75">
      <c r="A92" s="3075" t="s">
        <v>3269</v>
      </c>
      <c r="B92" s="2305"/>
      <c r="C92" s="2305" t="s">
        <v>3278</v>
      </c>
      <c r="D92" s="2305" t="s">
        <v>3279</v>
      </c>
      <c r="E92" s="3047" t="s">
        <v>3280</v>
      </c>
      <c r="F92" s="3077" t="s">
        <v>3281</v>
      </c>
      <c r="G92" s="2305" t="s">
        <v>3282</v>
      </c>
      <c r="H92" s="3084" t="s">
        <v>3285</v>
      </c>
      <c r="I92" s="2305" t="s">
        <v>3286</v>
      </c>
      <c r="J92" s="2146" t="s">
        <v>3287</v>
      </c>
      <c r="K92" s="2146" t="s">
        <v>3288</v>
      </c>
      <c r="L92" s="2146" t="s">
        <v>3289</v>
      </c>
      <c r="M92" s="2146" t="s">
        <v>3290</v>
      </c>
      <c r="N92" s="2146" t="s">
        <v>3291</v>
      </c>
    </row>
    <row r="93" spans="1:37" ht="24">
      <c r="A93" s="3065" t="s">
        <v>3270</v>
      </c>
      <c r="B93" s="1220"/>
      <c r="C93" s="1883"/>
      <c r="D93" s="2305">
        <f>SUMIF($J$92:$N$92,C93,J93:N93)</f>
        <v>0</v>
      </c>
      <c r="E93" s="3078">
        <f>ROUND(SUM(D93:D101),4)</f>
        <v>0</v>
      </c>
      <c r="F93" s="1674" t="str">
        <f>IF(E2="公共服务",SUMIF(L1:L12,G2,N1:N12),"——")</f>
        <v>——</v>
      </c>
      <c r="G93" s="3069"/>
      <c r="H93" s="3114" t="str">
        <f>IFERROR(ROUNDDOWN($F$93*I93/2,4),"——")</f>
        <v>——</v>
      </c>
      <c r="I93" s="3063">
        <v>0.25</v>
      </c>
      <c r="J93" s="1908">
        <f t="shared" ref="J93:J101" si="27">K93+$G93</f>
        <v>0</v>
      </c>
      <c r="K93" s="1908">
        <f t="shared" ref="K93:K101" si="28">$L93+$G93</f>
        <v>0</v>
      </c>
      <c r="L93" s="1908">
        <v>0</v>
      </c>
      <c r="M93" s="1908">
        <f t="shared" ref="M93:N101" si="29">L93-$G93</f>
        <v>0</v>
      </c>
      <c r="N93" s="1908">
        <f t="shared" si="29"/>
        <v>0</v>
      </c>
    </row>
    <row r="94" spans="1:37" ht="38.25">
      <c r="A94" s="3075" t="s">
        <v>3271</v>
      </c>
      <c r="B94" s="3066" t="str">
        <f>估价对象房地状况!C18</f>
        <v>估价对象周边道路状况、公共交通通达情况、停车便捷程度，综合评价交通便捷度较好</v>
      </c>
      <c r="C94" s="1883"/>
      <c r="D94" s="2305">
        <f t="shared" ref="D94:D101" si="30">SUMIF($J$60:$N$60,C94,J94:N94)</f>
        <v>0</v>
      </c>
      <c r="E94" s="3079"/>
      <c r="F94" s="1674"/>
      <c r="G94" s="3069"/>
      <c r="H94" s="3114" t="str">
        <f>IFERROR(ROUNDDOWN($F$93*I94/2,4),"——")</f>
        <v>——</v>
      </c>
      <c r="I94" s="3063">
        <v>0.26</v>
      </c>
      <c r="J94" s="1908">
        <f t="shared" si="27"/>
        <v>0</v>
      </c>
      <c r="K94" s="1908">
        <f t="shared" si="28"/>
        <v>0</v>
      </c>
      <c r="L94" s="1908">
        <v>0</v>
      </c>
      <c r="M94" s="1908">
        <f t="shared" si="29"/>
        <v>0</v>
      </c>
      <c r="N94" s="1908">
        <f t="shared" si="29"/>
        <v>0</v>
      </c>
    </row>
    <row r="95" spans="1:37" ht="36">
      <c r="A95" s="3065" t="s">
        <v>3267</v>
      </c>
      <c r="B95" s="3066">
        <f>估价对象房地状况!C19</f>
        <v>0</v>
      </c>
      <c r="C95" s="1883"/>
      <c r="D95" s="2305">
        <f t="shared" si="30"/>
        <v>0</v>
      </c>
      <c r="E95" s="3079"/>
      <c r="F95" s="1674"/>
      <c r="G95" s="3069"/>
      <c r="H95" s="3114" t="str">
        <f t="shared" ref="H95:H101" si="31">IFERROR(ROUNDDOWN($F$93*I95/2,4),"——")</f>
        <v>——</v>
      </c>
      <c r="I95" s="3063">
        <v>0.11</v>
      </c>
      <c r="J95" s="1908">
        <f t="shared" si="27"/>
        <v>0</v>
      </c>
      <c r="K95" s="1908">
        <f t="shared" si="28"/>
        <v>0</v>
      </c>
      <c r="L95" s="1908">
        <v>0</v>
      </c>
      <c r="M95" s="1908">
        <f t="shared" si="29"/>
        <v>0</v>
      </c>
      <c r="N95" s="1908">
        <f t="shared" si="29"/>
        <v>0</v>
      </c>
    </row>
    <row r="96" spans="1:37" ht="36.75">
      <c r="A96" s="3075" t="s">
        <v>3272</v>
      </c>
      <c r="B96" s="3081" t="s">
        <v>3283</v>
      </c>
      <c r="C96" s="1883"/>
      <c r="D96" s="2305">
        <f t="shared" si="30"/>
        <v>0</v>
      </c>
      <c r="E96" s="3079"/>
      <c r="F96" s="1674"/>
      <c r="G96" s="3069"/>
      <c r="H96" s="3114" t="str">
        <f t="shared" si="31"/>
        <v>——</v>
      </c>
      <c r="I96" s="3063">
        <v>0.05</v>
      </c>
      <c r="J96" s="1908">
        <f t="shared" si="27"/>
        <v>0</v>
      </c>
      <c r="K96" s="1908">
        <f t="shared" si="28"/>
        <v>0</v>
      </c>
      <c r="L96" s="1908">
        <v>0</v>
      </c>
      <c r="M96" s="1908">
        <f t="shared" si="29"/>
        <v>0</v>
      </c>
      <c r="N96" s="1908">
        <f t="shared" si="29"/>
        <v>0</v>
      </c>
    </row>
    <row r="97" spans="1:14" ht="24">
      <c r="A97" s="3075" t="s">
        <v>3273</v>
      </c>
      <c r="B97" s="3066">
        <f>估价对象房地状况!C24</f>
        <v>0</v>
      </c>
      <c r="C97" s="1883"/>
      <c r="D97" s="2305">
        <f t="shared" si="30"/>
        <v>0</v>
      </c>
      <c r="E97" s="3079"/>
      <c r="F97" s="1674"/>
      <c r="G97" s="3069"/>
      <c r="H97" s="3114" t="str">
        <f t="shared" si="31"/>
        <v>——</v>
      </c>
      <c r="I97" s="3063">
        <v>0.05</v>
      </c>
      <c r="J97" s="1908">
        <f t="shared" si="27"/>
        <v>0</v>
      </c>
      <c r="K97" s="1908">
        <f t="shared" si="28"/>
        <v>0</v>
      </c>
      <c r="L97" s="1908">
        <v>0</v>
      </c>
      <c r="M97" s="1908">
        <f t="shared" si="29"/>
        <v>0</v>
      </c>
      <c r="N97" s="1908">
        <f t="shared" si="29"/>
        <v>0</v>
      </c>
    </row>
    <row r="98" spans="1:14" ht="24">
      <c r="A98" s="3075" t="s">
        <v>3274</v>
      </c>
      <c r="B98" s="3082" t="s">
        <v>3284</v>
      </c>
      <c r="C98" s="1883"/>
      <c r="D98" s="2305">
        <f t="shared" si="30"/>
        <v>0</v>
      </c>
      <c r="E98" s="3079"/>
      <c r="F98" s="1674"/>
      <c r="G98" s="3069"/>
      <c r="H98" s="3114" t="str">
        <f t="shared" si="31"/>
        <v>——</v>
      </c>
      <c r="I98" s="3063">
        <v>0.06</v>
      </c>
      <c r="J98" s="1908">
        <f t="shared" si="27"/>
        <v>0</v>
      </c>
      <c r="K98" s="1908">
        <f t="shared" si="28"/>
        <v>0</v>
      </c>
      <c r="L98" s="1908">
        <v>0</v>
      </c>
      <c r="M98" s="1908">
        <f t="shared" si="29"/>
        <v>0</v>
      </c>
      <c r="N98" s="1908">
        <f t="shared" si="29"/>
        <v>0</v>
      </c>
    </row>
    <row r="99" spans="1:14" ht="25.5">
      <c r="A99" s="3075" t="s">
        <v>3275</v>
      </c>
      <c r="B99" s="3066" t="str">
        <f>估价对象房地状况!C21</f>
        <v>估价对象所在区域公共配套设施齐备情况</v>
      </c>
      <c r="C99" s="1883"/>
      <c r="D99" s="2305">
        <f t="shared" si="30"/>
        <v>0</v>
      </c>
      <c r="E99" s="3079"/>
      <c r="F99" s="1674"/>
      <c r="G99" s="3069"/>
      <c r="H99" s="3114" t="str">
        <f t="shared" si="31"/>
        <v>——</v>
      </c>
      <c r="I99" s="3063">
        <v>0.06</v>
      </c>
      <c r="J99" s="1908">
        <f t="shared" si="27"/>
        <v>0</v>
      </c>
      <c r="K99" s="1908">
        <f t="shared" si="28"/>
        <v>0</v>
      </c>
      <c r="L99" s="1908">
        <v>0</v>
      </c>
      <c r="M99" s="1908">
        <f t="shared" si="29"/>
        <v>0</v>
      </c>
      <c r="N99" s="1908">
        <f t="shared" si="29"/>
        <v>0</v>
      </c>
    </row>
    <row r="100" spans="1:14" ht="25.5">
      <c r="A100" s="3075" t="s">
        <v>3276</v>
      </c>
      <c r="B100" s="3066" t="str">
        <f>估价对象房地状况!C22</f>
        <v>估价对象所在区域基础设施水平</v>
      </c>
      <c r="C100" s="1883"/>
      <c r="D100" s="2305">
        <f t="shared" si="30"/>
        <v>0</v>
      </c>
      <c r="E100" s="3079"/>
      <c r="F100" s="1674"/>
      <c r="G100" s="3069"/>
      <c r="H100" s="3114" t="str">
        <f t="shared" si="31"/>
        <v>——</v>
      </c>
      <c r="I100" s="3063">
        <v>0.09</v>
      </c>
      <c r="J100" s="1908">
        <f t="shared" si="27"/>
        <v>0</v>
      </c>
      <c r="K100" s="1908">
        <f t="shared" si="28"/>
        <v>0</v>
      </c>
      <c r="L100" s="1908">
        <v>0</v>
      </c>
      <c r="M100" s="1908">
        <f t="shared" si="29"/>
        <v>0</v>
      </c>
      <c r="N100" s="1908">
        <f t="shared" si="29"/>
        <v>0</v>
      </c>
    </row>
    <row r="101" spans="1:14" ht="26.25" thickBot="1">
      <c r="A101" s="3076" t="s">
        <v>3277</v>
      </c>
      <c r="B101" s="3083" t="str">
        <f>估价对象房地状况!C20</f>
        <v>区域自然环境：；人文环境；综合评价环境状况一般</v>
      </c>
      <c r="C101" s="1883"/>
      <c r="D101" s="2305">
        <f t="shared" si="30"/>
        <v>0</v>
      </c>
      <c r="E101" s="3080"/>
      <c r="F101" s="1674"/>
      <c r="G101" s="3069"/>
      <c r="H101" s="3114" t="str">
        <f t="shared" si="31"/>
        <v>——</v>
      </c>
      <c r="I101" s="3064">
        <v>7.0000000000000007E-2</v>
      </c>
      <c r="J101" s="1908">
        <f t="shared" si="27"/>
        <v>0</v>
      </c>
      <c r="K101" s="1908">
        <f t="shared" si="28"/>
        <v>0</v>
      </c>
      <c r="L101" s="1908">
        <v>0</v>
      </c>
      <c r="M101" s="1908">
        <f t="shared" si="29"/>
        <v>0</v>
      </c>
      <c r="N101" s="1908">
        <f t="shared" si="29"/>
        <v>0</v>
      </c>
    </row>
    <row r="103" spans="1:14">
      <c r="A103" s="3578" t="s">
        <v>3292</v>
      </c>
      <c r="B103" s="3578"/>
      <c r="C103" s="3578"/>
      <c r="D103" s="3578"/>
      <c r="E103" s="3578"/>
      <c r="F103" s="3578"/>
      <c r="G103" s="3578"/>
      <c r="H103" s="3578"/>
      <c r="I103" s="3578"/>
      <c r="J103" s="3578"/>
      <c r="K103" s="1666"/>
      <c r="L103" s="1666"/>
      <c r="M103" s="1666"/>
      <c r="N103" s="1666"/>
    </row>
    <row r="104" spans="1:14">
      <c r="A104" s="3579" t="s">
        <v>3293</v>
      </c>
      <c r="B104" s="3579" t="s">
        <v>3294</v>
      </c>
      <c r="C104" s="3085" t="s">
        <v>3295</v>
      </c>
      <c r="D104" s="3086"/>
      <c r="E104" s="3086"/>
      <c r="F104" s="3086"/>
      <c r="G104" s="3086"/>
      <c r="H104" s="3086"/>
      <c r="I104" s="3086"/>
      <c r="J104" s="3087"/>
      <c r="K104" s="3088"/>
      <c r="L104" s="3088"/>
      <c r="M104" s="3088"/>
      <c r="N104" s="3088"/>
    </row>
    <row r="105" spans="1:14">
      <c r="A105" s="3579"/>
      <c r="B105" s="3579"/>
      <c r="C105" s="3089" t="s">
        <v>3296</v>
      </c>
      <c r="D105" s="3089" t="s">
        <v>3297</v>
      </c>
      <c r="E105" s="3089" t="s">
        <v>3298</v>
      </c>
      <c r="F105" s="3089" t="s">
        <v>3299</v>
      </c>
      <c r="G105" s="3089" t="s">
        <v>3300</v>
      </c>
      <c r="H105" s="3089" t="s">
        <v>3301</v>
      </c>
      <c r="I105" s="3089" t="s">
        <v>3302</v>
      </c>
      <c r="J105" s="3089" t="s">
        <v>3303</v>
      </c>
      <c r="K105" s="3089" t="s">
        <v>3304</v>
      </c>
      <c r="L105" s="3089" t="s">
        <v>3305</v>
      </c>
      <c r="M105" s="3089" t="s">
        <v>3306</v>
      </c>
      <c r="N105" s="3089" t="s">
        <v>3307</v>
      </c>
    </row>
    <row r="106" spans="1:14">
      <c r="A106" s="3565" t="s">
        <v>3308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66"/>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66"/>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66"/>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66"/>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66"/>
      <c r="B111" s="3089" t="s">
        <v>3266</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67"/>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68" t="s">
        <v>3309</v>
      </c>
      <c r="B113" s="3568"/>
      <c r="C113" s="3568"/>
      <c r="D113" s="3568"/>
      <c r="E113" s="3568"/>
      <c r="F113" s="3568"/>
      <c r="G113" s="3568"/>
      <c r="H113" s="3568"/>
      <c r="I113" s="3568"/>
      <c r="J113" s="3568"/>
      <c r="K113" s="3091"/>
      <c r="L113" s="3091"/>
      <c r="M113" s="3091"/>
      <c r="N113" s="3091"/>
    </row>
    <row r="114" spans="1:14">
      <c r="A114" s="3092"/>
      <c r="B114" s="3092"/>
      <c r="C114" s="3092"/>
      <c r="D114" s="3092"/>
      <c r="E114" s="3092"/>
      <c r="F114" s="3092"/>
      <c r="G114" s="3092"/>
      <c r="H114" s="3092"/>
      <c r="I114" s="3092"/>
      <c r="J114" s="3092"/>
      <c r="K114" s="1960"/>
      <c r="L114" s="3092"/>
      <c r="M114" s="3092"/>
      <c r="N114" s="3092"/>
    </row>
    <row r="115" spans="1:14" ht="13.5" thickBot="1">
      <c r="A115" s="3092"/>
      <c r="B115" s="3092"/>
      <c r="C115" s="3092"/>
      <c r="D115" s="3092"/>
      <c r="E115" s="3092"/>
      <c r="F115" s="3092"/>
      <c r="G115" s="3092"/>
      <c r="H115" s="3092"/>
      <c r="I115" s="3092"/>
      <c r="J115" s="3092"/>
      <c r="K115" s="1960"/>
      <c r="L115" s="3092"/>
      <c r="M115" s="3092"/>
      <c r="N115" s="3092"/>
    </row>
    <row r="116" spans="1:14" ht="25.5" thickBot="1">
      <c r="A116" s="3093" t="s">
        <v>3310</v>
      </c>
      <c r="B116" s="3109">
        <f>G3</f>
        <v>0</v>
      </c>
      <c r="C116" s="3094" t="s">
        <v>3311</v>
      </c>
      <c r="D116" s="3095">
        <f>SUMPRODUCT((A118:A122=F116)*(B117:M117=H116)*B118:M122)</f>
        <v>0</v>
      </c>
      <c r="E116" s="162" t="s">
        <v>3312</v>
      </c>
      <c r="F116" s="3096">
        <f>E2</f>
        <v>0</v>
      </c>
      <c r="G116" s="162" t="s">
        <v>3313</v>
      </c>
      <c r="H116" s="3096">
        <f>G2</f>
        <v>0</v>
      </c>
      <c r="I116" s="162"/>
      <c r="J116" s="3097"/>
      <c r="K116" s="3097"/>
      <c r="L116" s="3097"/>
      <c r="M116" s="3097"/>
      <c r="N116" s="3092"/>
    </row>
    <row r="117" spans="1:14">
      <c r="A117" s="3098"/>
      <c r="B117" s="3099" t="s">
        <v>3314</v>
      </c>
      <c r="C117" s="3099" t="s">
        <v>3315</v>
      </c>
      <c r="D117" s="3099" t="s">
        <v>3316</v>
      </c>
      <c r="E117" s="3100" t="s">
        <v>3317</v>
      </c>
      <c r="F117" s="3100" t="s">
        <v>3318</v>
      </c>
      <c r="G117" s="3100" t="s">
        <v>3319</v>
      </c>
      <c r="H117" s="3101" t="s">
        <v>3320</v>
      </c>
      <c r="I117" s="3101" t="s">
        <v>3321</v>
      </c>
      <c r="J117" s="3102" t="s">
        <v>3322</v>
      </c>
      <c r="K117" s="3102" t="s">
        <v>3323</v>
      </c>
      <c r="L117" s="3102" t="s">
        <v>3324</v>
      </c>
      <c r="M117" s="3103" t="s">
        <v>3325</v>
      </c>
      <c r="N117" s="3092"/>
    </row>
    <row r="118" spans="1:14">
      <c r="A118" s="3052" t="s">
        <v>3326</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3327</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3328</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3329</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2610</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3" t="str">
        <f>IF(项目基本情况!B9="房地产市场价值","估价结果一览表","结果表-2")</f>
        <v>估价结果一览表</v>
      </c>
      <c r="B1" s="3283"/>
      <c r="C1" s="3283"/>
      <c r="D1" s="3283"/>
      <c r="E1" s="3283"/>
      <c r="F1" s="3283"/>
      <c r="G1" s="3283"/>
      <c r="H1" s="3283"/>
      <c r="I1" s="3283"/>
    </row>
    <row r="2" spans="1:9" ht="30" customHeight="1" thickTop="1">
      <c r="A2" s="3284" t="s">
        <v>922</v>
      </c>
      <c r="B2" s="3284" t="s">
        <v>923</v>
      </c>
      <c r="C2" s="3284" t="s">
        <v>924</v>
      </c>
      <c r="D2" s="3284" t="str">
        <f>结果表!D116</f>
        <v>出让国有建设用地使用权价值</v>
      </c>
      <c r="E2" s="3284"/>
      <c r="F2" s="3284" t="str">
        <f>结果表!F116</f>
        <v>建筑物价值</v>
      </c>
      <c r="G2" s="3284"/>
      <c r="H2" s="3284" t="str">
        <f>IF(项目基本情况!B9="房地产市场价值","房地产市场价值","房地产价值")</f>
        <v>房地产市场价值</v>
      </c>
      <c r="I2" s="3284"/>
    </row>
    <row r="3" spans="1:9" ht="15">
      <c r="A3" s="3279"/>
      <c r="B3" s="3279"/>
      <c r="C3" s="3279"/>
      <c r="D3" s="801" t="s">
        <v>919</v>
      </c>
      <c r="E3" s="801" t="s">
        <v>925</v>
      </c>
      <c r="F3" s="801" t="s">
        <v>919</v>
      </c>
      <c r="G3" s="801" t="s">
        <v>920</v>
      </c>
      <c r="H3" s="801" t="s">
        <v>919</v>
      </c>
      <c r="I3" s="801" t="s">
        <v>920</v>
      </c>
    </row>
    <row r="4" spans="1:9" ht="45">
      <c r="A4" s="1402" t="str">
        <f>项目基本情况!S2</f>
        <v>河北省张家口市下花园区110国道北侧“京北金茂悦”项目房地产</v>
      </c>
      <c r="B4" s="801">
        <f>项目基本情况!C17</f>
        <v>86196.960000000021</v>
      </c>
      <c r="C4" s="801">
        <f>项目基本情况!C18</f>
        <v>0</v>
      </c>
      <c r="D4" s="801">
        <f ca="1">结果表!D118</f>
        <v>15306</v>
      </c>
      <c r="E4" s="801">
        <f ca="1">结果表!E118</f>
        <v>1789</v>
      </c>
      <c r="F4" s="801">
        <f ca="1">结果表!F118</f>
        <v>58282</v>
      </c>
      <c r="G4" s="801">
        <f ca="1">结果表!G118</f>
        <v>6811</v>
      </c>
      <c r="H4" s="801">
        <f ca="1">结果表!H118</f>
        <v>73588</v>
      </c>
      <c r="I4" s="801">
        <f ca="1">结果表!I118</f>
        <v>8600</v>
      </c>
    </row>
    <row r="5" spans="1:9" ht="30" customHeight="1">
      <c r="A5" s="3279" t="s">
        <v>921</v>
      </c>
      <c r="B5" s="3279"/>
      <c r="C5" s="3279"/>
      <c r="D5" s="3279" t="str">
        <f ca="1">结果表!D119</f>
        <v>壹亿伍仟叁佰零陆万元整</v>
      </c>
      <c r="E5" s="3279"/>
      <c r="F5" s="3279" t="str">
        <f ca="1">结果表!F119</f>
        <v>伍亿捌仟贰佰捌拾贰万元整</v>
      </c>
      <c r="G5" s="3279"/>
      <c r="H5" s="3279" t="str">
        <f ca="1">结果表!H119</f>
        <v>柒亿叁仟伍佰捌拾捌万元整</v>
      </c>
      <c r="I5" s="3279"/>
    </row>
    <row r="6" spans="1:9" ht="15.75">
      <c r="A6" s="3278" t="str">
        <f>结果表!A120</f>
        <v/>
      </c>
      <c r="B6" s="3278"/>
      <c r="C6" s="3278"/>
      <c r="D6" s="3278">
        <f>结果表!D120</f>
        <v>0</v>
      </c>
      <c r="E6" s="3278"/>
      <c r="F6" s="3278"/>
      <c r="G6" s="3278"/>
      <c r="H6" s="3278"/>
      <c r="I6" s="3278"/>
    </row>
    <row r="7" spans="1:9" ht="15">
      <c r="A7" s="3279" t="s">
        <v>921</v>
      </c>
      <c r="B7" s="3279"/>
      <c r="C7" s="3279"/>
      <c r="D7" s="3280" t="str">
        <f>结果表!D121</f>
        <v>零元整</v>
      </c>
      <c r="E7" s="3281"/>
      <c r="F7" s="3281"/>
      <c r="G7" s="3281"/>
      <c r="H7" s="3281"/>
      <c r="I7" s="3282"/>
    </row>
    <row r="8" spans="1:9" ht="15.75">
      <c r="A8" s="3278" t="str">
        <f>结果表!A122</f>
        <v/>
      </c>
      <c r="B8" s="3278"/>
      <c r="C8" s="3278"/>
      <c r="D8" s="3278">
        <f ca="1">结果表!D122</f>
        <v>73588</v>
      </c>
      <c r="E8" s="3278"/>
      <c r="F8" s="3278"/>
      <c r="G8" s="3278"/>
      <c r="H8" s="3278"/>
      <c r="I8" s="3278"/>
    </row>
    <row r="9" spans="1:9" ht="15">
      <c r="A9" s="3279" t="s">
        <v>921</v>
      </c>
      <c r="B9" s="3279"/>
      <c r="C9" s="3279"/>
      <c r="D9" s="3279" t="str">
        <f ca="1">结果表!D123</f>
        <v>柒亿叁仟伍佰捌拾捌万元整</v>
      </c>
      <c r="E9" s="3279"/>
      <c r="F9" s="3279"/>
      <c r="G9" s="3279"/>
      <c r="H9" s="3279"/>
      <c r="I9" s="3279"/>
    </row>
    <row r="10" spans="1:9" ht="15.75">
      <c r="A10" s="3278" t="str">
        <f>结果表!A124</f>
        <v/>
      </c>
      <c r="B10" s="3278"/>
      <c r="C10" s="3278"/>
      <c r="D10" s="3278" t="str">
        <f>结果表!D124</f>
        <v>——</v>
      </c>
      <c r="E10" s="3278"/>
      <c r="F10" s="3278"/>
      <c r="G10" s="3278"/>
      <c r="H10" s="3278"/>
      <c r="I10" s="3278"/>
    </row>
    <row r="11" spans="1:9" ht="15">
      <c r="A11" s="3279" t="s">
        <v>921</v>
      </c>
      <c r="B11" s="3279"/>
      <c r="C11" s="3279"/>
      <c r="D11" s="3279" t="e">
        <f>结果表!D125</f>
        <v>#VALUE!</v>
      </c>
      <c r="E11" s="3279"/>
      <c r="F11" s="3279"/>
      <c r="G11" s="3279"/>
      <c r="H11" s="3279"/>
      <c r="I11" s="3279"/>
    </row>
    <row r="12" spans="1:9" ht="15.75">
      <c r="A12" s="3278" t="str">
        <f>结果表!A126</f>
        <v/>
      </c>
      <c r="B12" s="3278"/>
      <c r="C12" s="3278"/>
      <c r="D12" s="3278" t="str">
        <f>结果表!D126</f>
        <v>——</v>
      </c>
      <c r="E12" s="3278"/>
      <c r="F12" s="3278"/>
      <c r="G12" s="3278"/>
      <c r="H12" s="3278"/>
      <c r="I12" s="3278"/>
    </row>
    <row r="13" spans="1:9" ht="15.75" thickBot="1">
      <c r="A13" s="3276" t="s">
        <v>921</v>
      </c>
      <c r="B13" s="3276"/>
      <c r="C13" s="3276"/>
      <c r="D13" s="3276" t="e">
        <f>结果表!D127</f>
        <v>#VALUE!</v>
      </c>
      <c r="E13" s="3276"/>
      <c r="F13" s="3276"/>
      <c r="G13" s="3276"/>
      <c r="H13" s="3276"/>
      <c r="I13" s="3276"/>
    </row>
    <row r="14" spans="1:9" ht="15" thickTop="1">
      <c r="A14" s="3277" t="s">
        <v>926</v>
      </c>
      <c r="B14" s="3277"/>
      <c r="C14" s="3277"/>
      <c r="D14" s="3277"/>
      <c r="E14" s="3277"/>
      <c r="F14" s="3277"/>
      <c r="G14" s="3277"/>
      <c r="H14" s="3277"/>
      <c r="I14" s="3277"/>
    </row>
    <row r="16" spans="1:9" ht="18.75">
      <c r="A16" s="1403" t="s">
        <v>909</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593" t="s">
        <v>2605</v>
      </c>
      <c r="B20" s="3588" t="s">
        <v>2626</v>
      </c>
      <c r="C20" s="2837" t="s">
        <v>2437</v>
      </c>
      <c r="D20" s="2838"/>
      <c r="E20" s="2839">
        <v>1</v>
      </c>
      <c r="F20" s="2840" t="s">
        <v>2438</v>
      </c>
      <c r="G20" s="2840"/>
    </row>
    <row r="21" spans="1:13" ht="19.5" customHeight="1">
      <c r="A21" s="3594"/>
      <c r="B21" s="3587"/>
      <c r="C21" s="2841" t="s">
        <v>2439</v>
      </c>
      <c r="D21" s="2842"/>
      <c r="E21" s="2843">
        <v>1</v>
      </c>
      <c r="F21" s="2840" t="s">
        <v>2440</v>
      </c>
      <c r="G21" s="2840"/>
    </row>
    <row r="22" spans="1:13" ht="19.5" customHeight="1">
      <c r="A22" s="3594"/>
      <c r="B22" s="3587"/>
      <c r="C22" s="2841" t="s">
        <v>2441</v>
      </c>
      <c r="D22" s="2842"/>
      <c r="E22" s="2843">
        <v>0.9</v>
      </c>
      <c r="F22" s="2840" t="s">
        <v>2442</v>
      </c>
      <c r="G22" s="2840"/>
    </row>
    <row r="23" spans="1:13" ht="19.5" customHeight="1">
      <c r="A23" s="3594"/>
      <c r="B23" s="3587"/>
      <c r="C23" s="2841" t="s">
        <v>2443</v>
      </c>
      <c r="D23" s="2842"/>
      <c r="E23" s="2843">
        <v>0.9</v>
      </c>
      <c r="F23" s="2840" t="s">
        <v>2444</v>
      </c>
      <c r="G23" s="2840"/>
    </row>
    <row r="24" spans="1:13" ht="19.5" customHeight="1">
      <c r="A24" s="3594"/>
      <c r="B24" s="3587"/>
      <c r="C24" s="2841" t="s">
        <v>2445</v>
      </c>
      <c r="D24" s="2842"/>
      <c r="E24" s="2843">
        <v>0.8</v>
      </c>
      <c r="F24" s="2840" t="s">
        <v>2446</v>
      </c>
      <c r="G24" s="2840"/>
    </row>
    <row r="25" spans="1:13" ht="19.5" customHeight="1" thickBot="1">
      <c r="A25" s="3595"/>
      <c r="B25" s="3589"/>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590" t="s">
        <v>2629</v>
      </c>
      <c r="B27" s="3588" t="s">
        <v>2610</v>
      </c>
      <c r="C27" s="2837" t="s">
        <v>2450</v>
      </c>
      <c r="D27" s="2838"/>
      <c r="E27" s="2839">
        <v>1</v>
      </c>
      <c r="F27" s="2840" t="s">
        <v>2451</v>
      </c>
      <c r="G27" s="2840"/>
    </row>
    <row r="28" spans="1:13" ht="19.5" customHeight="1">
      <c r="A28" s="3591"/>
      <c r="B28" s="3587"/>
      <c r="C28" s="2841" t="s">
        <v>2452</v>
      </c>
      <c r="D28" s="2842"/>
      <c r="E28" s="2843">
        <v>1</v>
      </c>
      <c r="F28" s="2840" t="s">
        <v>2453</v>
      </c>
      <c r="G28" s="2840"/>
    </row>
    <row r="29" spans="1:13" ht="19.5" customHeight="1">
      <c r="A29" s="3591"/>
      <c r="B29" s="3587"/>
      <c r="C29" s="2841" t="s">
        <v>2454</v>
      </c>
      <c r="D29" s="2842"/>
      <c r="E29" s="2843">
        <v>0.8</v>
      </c>
      <c r="F29" s="2840" t="s">
        <v>2455</v>
      </c>
      <c r="G29" s="2840"/>
    </row>
    <row r="30" spans="1:13" ht="19.5" customHeight="1">
      <c r="A30" s="3591"/>
      <c r="B30" s="3587"/>
      <c r="C30" s="2841" t="s">
        <v>2456</v>
      </c>
      <c r="D30" s="2842"/>
      <c r="E30" s="2843">
        <v>0.8</v>
      </c>
      <c r="F30" s="2840" t="s">
        <v>2457</v>
      </c>
      <c r="G30" s="2840"/>
    </row>
    <row r="31" spans="1:13" ht="19.5" customHeight="1">
      <c r="A31" s="3591"/>
      <c r="B31" s="3587"/>
      <c r="C31" s="2841" t="s">
        <v>2458</v>
      </c>
      <c r="D31" s="2842"/>
      <c r="E31" s="2843">
        <v>0.8</v>
      </c>
      <c r="F31" s="2840" t="s">
        <v>2459</v>
      </c>
      <c r="G31" s="2840"/>
    </row>
    <row r="32" spans="1:13" ht="19.5" customHeight="1">
      <c r="A32" s="3591"/>
      <c r="B32" s="3587"/>
      <c r="C32" s="2841" t="s">
        <v>2460</v>
      </c>
      <c r="D32" s="2842"/>
      <c r="E32" s="2843">
        <v>0.7</v>
      </c>
      <c r="F32" s="2840" t="s">
        <v>2461</v>
      </c>
      <c r="G32" s="2840"/>
    </row>
    <row r="33" spans="1:7" ht="19.5" customHeight="1">
      <c r="A33" s="3591"/>
      <c r="B33" s="3587"/>
      <c r="C33" s="2841" t="s">
        <v>2462</v>
      </c>
      <c r="D33" s="2842"/>
      <c r="E33" s="2843">
        <v>0.8</v>
      </c>
      <c r="F33" s="2840" t="s">
        <v>2463</v>
      </c>
      <c r="G33" s="2840"/>
    </row>
    <row r="34" spans="1:7" ht="19.5" customHeight="1">
      <c r="A34" s="3591"/>
      <c r="B34" s="3587"/>
      <c r="C34" s="2841" t="s">
        <v>2464</v>
      </c>
      <c r="D34" s="2842"/>
      <c r="E34" s="2843">
        <v>0.6</v>
      </c>
      <c r="F34" s="2840" t="s">
        <v>2465</v>
      </c>
      <c r="G34" s="2840"/>
    </row>
    <row r="35" spans="1:7" ht="19.5" customHeight="1">
      <c r="A35" s="3591"/>
      <c r="B35" s="3587"/>
      <c r="C35" s="2841" t="s">
        <v>2466</v>
      </c>
      <c r="D35" s="2842"/>
      <c r="E35" s="2843">
        <v>0.2</v>
      </c>
      <c r="F35" s="2840" t="s">
        <v>2467</v>
      </c>
      <c r="G35" s="2840"/>
    </row>
    <row r="36" spans="1:7" ht="19.5" customHeight="1">
      <c r="A36" s="3591"/>
      <c r="B36" s="3587"/>
      <c r="C36" s="2841" t="s">
        <v>2468</v>
      </c>
      <c r="D36" s="2842"/>
      <c r="E36" s="2843">
        <v>0.2</v>
      </c>
      <c r="F36" s="2840" t="s">
        <v>2469</v>
      </c>
      <c r="G36" s="2840"/>
    </row>
    <row r="37" spans="1:7" ht="19.5" customHeight="1">
      <c r="A37" s="3591"/>
      <c r="B37" s="3585" t="s">
        <v>2630</v>
      </c>
      <c r="C37" s="2841" t="s">
        <v>2470</v>
      </c>
      <c r="D37" s="2842"/>
      <c r="E37" s="2843">
        <v>0.6</v>
      </c>
      <c r="F37" s="2840" t="s">
        <v>2471</v>
      </c>
      <c r="G37" s="2840"/>
    </row>
    <row r="38" spans="1:7" ht="19.5" customHeight="1">
      <c r="A38" s="3591"/>
      <c r="B38" s="3587"/>
      <c r="C38" s="2841" t="s">
        <v>2472</v>
      </c>
      <c r="D38" s="2842"/>
      <c r="E38" s="2843">
        <v>0.6</v>
      </c>
      <c r="F38" s="2840" t="s">
        <v>2473</v>
      </c>
      <c r="G38" s="2840"/>
    </row>
    <row r="39" spans="1:7" ht="19.5" customHeight="1" thickBot="1">
      <c r="A39" s="3592"/>
      <c r="B39" s="3589"/>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593" t="s">
        <v>2608</v>
      </c>
      <c r="B41" s="3588" t="s">
        <v>2632</v>
      </c>
      <c r="C41" s="2837" t="s">
        <v>2477</v>
      </c>
      <c r="D41" s="2838"/>
      <c r="E41" s="2839">
        <v>1</v>
      </c>
      <c r="F41" s="2840" t="s">
        <v>2478</v>
      </c>
      <c r="G41" s="2840"/>
    </row>
    <row r="42" spans="1:7" ht="19.5" customHeight="1">
      <c r="A42" s="3594"/>
      <c r="B42" s="3587"/>
      <c r="C42" s="2841" t="s">
        <v>2479</v>
      </c>
      <c r="D42" s="2842"/>
      <c r="E42" s="2843">
        <v>1</v>
      </c>
      <c r="F42" s="2840" t="s">
        <v>2480</v>
      </c>
      <c r="G42" s="2840"/>
    </row>
    <row r="43" spans="1:7" ht="19.5" customHeight="1">
      <c r="A43" s="3594"/>
      <c r="B43" s="3586"/>
      <c r="C43" s="2841" t="s">
        <v>2481</v>
      </c>
      <c r="D43" s="2842"/>
      <c r="E43" s="2843">
        <v>1.5</v>
      </c>
      <c r="F43" s="2840" t="s">
        <v>2482</v>
      </c>
      <c r="G43" s="2840"/>
    </row>
    <row r="44" spans="1:7" ht="19.5" customHeight="1">
      <c r="A44" s="3594"/>
      <c r="B44" s="2852" t="s">
        <v>2633</v>
      </c>
      <c r="C44" s="2841" t="s">
        <v>2634</v>
      </c>
      <c r="D44" s="2842"/>
      <c r="E44" s="2843">
        <v>2</v>
      </c>
      <c r="F44" s="2840" t="s">
        <v>2483</v>
      </c>
      <c r="G44" s="2840"/>
    </row>
    <row r="45" spans="1:7" ht="19.5" customHeight="1">
      <c r="A45" s="3594"/>
      <c r="B45" s="3585" t="s">
        <v>2635</v>
      </c>
      <c r="C45" s="2841" t="s">
        <v>2484</v>
      </c>
      <c r="D45" s="2842"/>
      <c r="E45" s="2843">
        <v>1</v>
      </c>
      <c r="F45" s="2840" t="s">
        <v>2485</v>
      </c>
      <c r="G45" s="2840"/>
    </row>
    <row r="46" spans="1:7" ht="19.5" customHeight="1">
      <c r="A46" s="3594"/>
      <c r="B46" s="3587"/>
      <c r="C46" s="2841" t="s">
        <v>2486</v>
      </c>
      <c r="D46" s="2842"/>
      <c r="E46" s="2843">
        <v>1</v>
      </c>
      <c r="F46" s="2840" t="s">
        <v>2487</v>
      </c>
      <c r="G46" s="2840"/>
    </row>
    <row r="47" spans="1:7" ht="19.5" customHeight="1">
      <c r="A47" s="3594"/>
      <c r="B47" s="3587"/>
      <c r="C47" s="2841" t="s">
        <v>2488</v>
      </c>
      <c r="D47" s="2842"/>
      <c r="E47" s="2843">
        <v>1</v>
      </c>
      <c r="F47" s="2840" t="s">
        <v>2489</v>
      </c>
      <c r="G47" s="2840"/>
    </row>
    <row r="48" spans="1:7" ht="19.5" customHeight="1">
      <c r="A48" s="3594"/>
      <c r="B48" s="3587"/>
      <c r="C48" s="2841" t="s">
        <v>2490</v>
      </c>
      <c r="D48" s="2842"/>
      <c r="E48" s="2843">
        <v>1</v>
      </c>
      <c r="F48" s="2840" t="s">
        <v>2491</v>
      </c>
      <c r="G48" s="2840"/>
    </row>
    <row r="49" spans="1:7" ht="19.5" customHeight="1">
      <c r="A49" s="3594"/>
      <c r="B49" s="3587"/>
      <c r="C49" s="2841" t="s">
        <v>2492</v>
      </c>
      <c r="D49" s="2842"/>
      <c r="E49" s="2843">
        <v>1</v>
      </c>
      <c r="F49" s="2840" t="s">
        <v>2493</v>
      </c>
      <c r="G49" s="2840"/>
    </row>
    <row r="50" spans="1:7" ht="19.5" customHeight="1">
      <c r="A50" s="3594"/>
      <c r="B50" s="3587"/>
      <c r="C50" s="2841" t="s">
        <v>2494</v>
      </c>
      <c r="D50" s="2842"/>
      <c r="E50" s="2843">
        <v>1</v>
      </c>
      <c r="F50" s="2840" t="s">
        <v>2495</v>
      </c>
      <c r="G50" s="2840"/>
    </row>
    <row r="51" spans="1:7" ht="19.5" customHeight="1" thickBot="1">
      <c r="A51" s="3595"/>
      <c r="B51" s="3589"/>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585" t="s">
        <v>2649</v>
      </c>
      <c r="C73" s="2826" t="s">
        <v>2650</v>
      </c>
      <c r="D73" s="2826" t="s">
        <v>2651</v>
      </c>
      <c r="E73" s="2852">
        <v>0.2</v>
      </c>
      <c r="F73" s="2852">
        <v>25</v>
      </c>
    </row>
    <row r="74" spans="1:7" ht="24">
      <c r="A74" s="2852">
        <v>2</v>
      </c>
      <c r="B74" s="3587"/>
      <c r="C74" s="2826" t="s">
        <v>2652</v>
      </c>
      <c r="D74" s="2826" t="s">
        <v>2653</v>
      </c>
      <c r="E74" s="2852">
        <v>0.2</v>
      </c>
      <c r="F74" s="2852">
        <v>25</v>
      </c>
    </row>
    <row r="75" spans="1:7" ht="24">
      <c r="A75" s="2852">
        <v>3</v>
      </c>
      <c r="B75" s="3587"/>
      <c r="C75" s="2826" t="s">
        <v>2654</v>
      </c>
      <c r="D75" s="2826" t="s">
        <v>2655</v>
      </c>
      <c r="E75" s="2852">
        <v>0.2</v>
      </c>
      <c r="F75" s="2852">
        <v>25</v>
      </c>
    </row>
    <row r="76" spans="1:7" ht="13.5">
      <c r="A76" s="2852">
        <v>4</v>
      </c>
      <c r="B76" s="3587"/>
      <c r="C76" s="2826" t="s">
        <v>2656</v>
      </c>
      <c r="D76" s="2826" t="s">
        <v>2657</v>
      </c>
      <c r="E76" s="2852">
        <v>0.15</v>
      </c>
      <c r="F76" s="2852">
        <v>20</v>
      </c>
    </row>
    <row r="77" spans="1:7" ht="24">
      <c r="A77" s="2852">
        <v>5</v>
      </c>
      <c r="B77" s="3587"/>
      <c r="C77" s="2826" t="s">
        <v>2658</v>
      </c>
      <c r="D77" s="2826" t="s">
        <v>2659</v>
      </c>
      <c r="E77" s="2852">
        <v>0.15</v>
      </c>
      <c r="F77" s="2852">
        <v>20</v>
      </c>
    </row>
    <row r="78" spans="1:7" ht="24">
      <c r="A78" s="2852">
        <v>6</v>
      </c>
      <c r="B78" s="3587"/>
      <c r="C78" s="2826" t="s">
        <v>2660</v>
      </c>
      <c r="D78" s="2826" t="s">
        <v>2661</v>
      </c>
      <c r="E78" s="2852">
        <v>0.15</v>
      </c>
      <c r="F78" s="2852">
        <v>20</v>
      </c>
    </row>
    <row r="79" spans="1:7" ht="24">
      <c r="A79" s="2852">
        <v>7</v>
      </c>
      <c r="B79" s="3587"/>
      <c r="C79" s="2826" t="s">
        <v>2662</v>
      </c>
      <c r="D79" s="2826" t="s">
        <v>2663</v>
      </c>
      <c r="E79" s="2852">
        <v>0.15</v>
      </c>
      <c r="F79" s="2852">
        <v>20</v>
      </c>
    </row>
    <row r="80" spans="1:7" ht="24">
      <c r="A80" s="2852">
        <v>8</v>
      </c>
      <c r="B80" s="3587"/>
      <c r="C80" s="2826" t="s">
        <v>2664</v>
      </c>
      <c r="D80" s="2826" t="s">
        <v>2665</v>
      </c>
      <c r="E80" s="2852">
        <v>0.1</v>
      </c>
      <c r="F80" s="2852">
        <v>15</v>
      </c>
    </row>
    <row r="81" spans="1:6" ht="24">
      <c r="A81" s="2852">
        <v>9</v>
      </c>
      <c r="B81" s="3587"/>
      <c r="C81" s="2826" t="s">
        <v>2666</v>
      </c>
      <c r="D81" s="2826" t="s">
        <v>2667</v>
      </c>
      <c r="E81" s="2852">
        <v>0.1</v>
      </c>
      <c r="F81" s="2852">
        <v>15</v>
      </c>
    </row>
    <row r="82" spans="1:6" ht="24">
      <c r="A82" s="2852">
        <v>10</v>
      </c>
      <c r="B82" s="3587"/>
      <c r="C82" s="2826" t="s">
        <v>2668</v>
      </c>
      <c r="D82" s="2826" t="s">
        <v>2669</v>
      </c>
      <c r="E82" s="2852">
        <v>0.1</v>
      </c>
      <c r="F82" s="2852">
        <v>15</v>
      </c>
    </row>
    <row r="83" spans="1:6" ht="24">
      <c r="A83" s="2852">
        <v>11</v>
      </c>
      <c r="B83" s="3587"/>
      <c r="C83" s="2826" t="s">
        <v>2670</v>
      </c>
      <c r="D83" s="2826" t="s">
        <v>2671</v>
      </c>
      <c r="E83" s="2852">
        <v>0.1</v>
      </c>
      <c r="F83" s="2852">
        <v>15</v>
      </c>
    </row>
    <row r="84" spans="1:6" ht="24">
      <c r="A84" s="2852">
        <v>12</v>
      </c>
      <c r="B84" s="3587"/>
      <c r="C84" s="2826" t="s">
        <v>2672</v>
      </c>
      <c r="D84" s="2826" t="s">
        <v>2673</v>
      </c>
      <c r="E84" s="2852">
        <v>0.1</v>
      </c>
      <c r="F84" s="2852">
        <v>15</v>
      </c>
    </row>
    <row r="85" spans="1:6" ht="13.5">
      <c r="A85" s="2852">
        <v>13</v>
      </c>
      <c r="B85" s="3587"/>
      <c r="C85" s="2826" t="s">
        <v>2674</v>
      </c>
      <c r="D85" s="2826" t="s">
        <v>2675</v>
      </c>
      <c r="E85" s="2852">
        <v>0.1</v>
      </c>
      <c r="F85" s="2852">
        <v>15</v>
      </c>
    </row>
    <row r="86" spans="1:6" ht="13.5">
      <c r="A86" s="2852">
        <v>14</v>
      </c>
      <c r="B86" s="3587"/>
      <c r="C86" s="2826" t="s">
        <v>2676</v>
      </c>
      <c r="D86" s="2826" t="s">
        <v>2677</v>
      </c>
      <c r="E86" s="2852">
        <v>0.1</v>
      </c>
      <c r="F86" s="2852">
        <v>15</v>
      </c>
    </row>
    <row r="87" spans="1:6" ht="13.5">
      <c r="A87" s="2852">
        <v>15</v>
      </c>
      <c r="B87" s="3587"/>
      <c r="C87" s="2826" t="s">
        <v>2678</v>
      </c>
      <c r="D87" s="2826" t="s">
        <v>2679</v>
      </c>
      <c r="E87" s="2852">
        <v>0.1</v>
      </c>
      <c r="F87" s="2852">
        <v>15</v>
      </c>
    </row>
    <row r="88" spans="1:6" ht="24">
      <c r="A88" s="2852">
        <v>16</v>
      </c>
      <c r="B88" s="3587"/>
      <c r="C88" s="2826" t="s">
        <v>2680</v>
      </c>
      <c r="D88" s="2826" t="s">
        <v>2681</v>
      </c>
      <c r="E88" s="2852">
        <v>0.1</v>
      </c>
      <c r="F88" s="2852">
        <v>15</v>
      </c>
    </row>
    <row r="89" spans="1:6" ht="24">
      <c r="A89" s="2852">
        <v>17</v>
      </c>
      <c r="B89" s="3586"/>
      <c r="C89" s="2826" t="s">
        <v>2682</v>
      </c>
      <c r="D89" s="2826" t="s">
        <v>2683</v>
      </c>
      <c r="E89" s="2852">
        <v>0.1</v>
      </c>
      <c r="F89" s="2852">
        <v>15</v>
      </c>
    </row>
    <row r="90" spans="1:6" ht="13.5">
      <c r="A90" s="2852">
        <v>18</v>
      </c>
      <c r="B90" s="3585" t="s">
        <v>2684</v>
      </c>
      <c r="C90" s="2826" t="s">
        <v>2685</v>
      </c>
      <c r="D90" s="2826" t="s">
        <v>2686</v>
      </c>
      <c r="E90" s="2852">
        <v>0.2</v>
      </c>
      <c r="F90" s="2852">
        <v>25</v>
      </c>
    </row>
    <row r="91" spans="1:6" ht="24">
      <c r="A91" s="2852">
        <v>19</v>
      </c>
      <c r="B91" s="3587"/>
      <c r="C91" s="2826" t="s">
        <v>2687</v>
      </c>
      <c r="D91" s="2826" t="s">
        <v>2688</v>
      </c>
      <c r="E91" s="2852">
        <v>0.2</v>
      </c>
      <c r="F91" s="2852">
        <v>25</v>
      </c>
    </row>
    <row r="92" spans="1:6" ht="13.5">
      <c r="A92" s="2852">
        <v>20</v>
      </c>
      <c r="B92" s="3587"/>
      <c r="C92" s="2826" t="s">
        <v>2689</v>
      </c>
      <c r="D92" s="2826" t="s">
        <v>2690</v>
      </c>
      <c r="E92" s="2852">
        <v>0.15</v>
      </c>
      <c r="F92" s="2852">
        <v>20</v>
      </c>
    </row>
    <row r="93" spans="1:6" ht="13.5">
      <c r="A93" s="2852">
        <v>21</v>
      </c>
      <c r="B93" s="3587"/>
      <c r="C93" s="2826" t="s">
        <v>2691</v>
      </c>
      <c r="D93" s="2826" t="s">
        <v>2692</v>
      </c>
      <c r="E93" s="2852">
        <v>0.15</v>
      </c>
      <c r="F93" s="2852">
        <v>20</v>
      </c>
    </row>
    <row r="94" spans="1:6" ht="13.5">
      <c r="A94" s="2852">
        <v>22</v>
      </c>
      <c r="B94" s="3587"/>
      <c r="C94" s="2826" t="s">
        <v>2693</v>
      </c>
      <c r="D94" s="2826" t="s">
        <v>2694</v>
      </c>
      <c r="E94" s="2852">
        <v>0.15</v>
      </c>
      <c r="F94" s="2852">
        <v>20</v>
      </c>
    </row>
    <row r="95" spans="1:6" ht="36">
      <c r="A95" s="2852">
        <v>23</v>
      </c>
      <c r="B95" s="3587"/>
      <c r="C95" s="2826" t="s">
        <v>2695</v>
      </c>
      <c r="D95" s="2826" t="s">
        <v>2696</v>
      </c>
      <c r="E95" s="2852">
        <v>0.15</v>
      </c>
      <c r="F95" s="2852">
        <v>20</v>
      </c>
    </row>
    <row r="96" spans="1:6" ht="13.5">
      <c r="A96" s="2852">
        <v>24</v>
      </c>
      <c r="B96" s="3587"/>
      <c r="C96" s="2826" t="s">
        <v>2697</v>
      </c>
      <c r="D96" s="2826" t="s">
        <v>2698</v>
      </c>
      <c r="E96" s="2852">
        <v>0.1</v>
      </c>
      <c r="F96" s="2852">
        <v>15</v>
      </c>
    </row>
    <row r="97" spans="1:6" ht="13.5">
      <c r="A97" s="2852">
        <v>25</v>
      </c>
      <c r="B97" s="3587"/>
      <c r="C97" s="2826" t="s">
        <v>2699</v>
      </c>
      <c r="D97" s="2826" t="s">
        <v>2700</v>
      </c>
      <c r="E97" s="2852">
        <v>0.1</v>
      </c>
      <c r="F97" s="2852">
        <v>15</v>
      </c>
    </row>
    <row r="98" spans="1:6" ht="24">
      <c r="A98" s="2852">
        <v>26</v>
      </c>
      <c r="B98" s="3587"/>
      <c r="C98" s="2826" t="s">
        <v>2701</v>
      </c>
      <c r="D98" s="2826" t="s">
        <v>2702</v>
      </c>
      <c r="E98" s="2852">
        <v>0.1</v>
      </c>
      <c r="F98" s="2852">
        <v>15</v>
      </c>
    </row>
    <row r="99" spans="1:6" ht="24">
      <c r="A99" s="2852">
        <v>27</v>
      </c>
      <c r="B99" s="3587"/>
      <c r="C99" s="2826" t="s">
        <v>2703</v>
      </c>
      <c r="D99" s="2826" t="s">
        <v>2704</v>
      </c>
      <c r="E99" s="2852">
        <v>0.1</v>
      </c>
      <c r="F99" s="2852">
        <v>15</v>
      </c>
    </row>
    <row r="100" spans="1:6" ht="13.5">
      <c r="A100" s="2852">
        <v>28</v>
      </c>
      <c r="B100" s="3587"/>
      <c r="C100" s="2826" t="s">
        <v>2705</v>
      </c>
      <c r="D100" s="2826" t="s">
        <v>2706</v>
      </c>
      <c r="E100" s="2852">
        <v>0.1</v>
      </c>
      <c r="F100" s="2852">
        <v>15</v>
      </c>
    </row>
    <row r="101" spans="1:6" ht="13.5">
      <c r="A101" s="2852">
        <v>29</v>
      </c>
      <c r="B101" s="3587"/>
      <c r="C101" s="2826" t="s">
        <v>2707</v>
      </c>
      <c r="D101" s="2826" t="s">
        <v>2708</v>
      </c>
      <c r="E101" s="2852">
        <v>0.1</v>
      </c>
      <c r="F101" s="2852">
        <v>15</v>
      </c>
    </row>
    <row r="102" spans="1:6" ht="13.5">
      <c r="A102" s="2852">
        <v>30</v>
      </c>
      <c r="B102" s="3587"/>
      <c r="C102" s="2826" t="s">
        <v>2709</v>
      </c>
      <c r="D102" s="2826" t="s">
        <v>2710</v>
      </c>
      <c r="E102" s="2852">
        <v>0.1</v>
      </c>
      <c r="F102" s="2852">
        <v>15</v>
      </c>
    </row>
    <row r="103" spans="1:6" ht="24">
      <c r="A103" s="2852">
        <v>31</v>
      </c>
      <c r="B103" s="3587"/>
      <c r="C103" s="2826" t="s">
        <v>2711</v>
      </c>
      <c r="D103" s="2826" t="s">
        <v>2712</v>
      </c>
      <c r="E103" s="2852">
        <v>0.1</v>
      </c>
      <c r="F103" s="2852">
        <v>15</v>
      </c>
    </row>
    <row r="104" spans="1:6" ht="24">
      <c r="A104" s="2852">
        <v>32</v>
      </c>
      <c r="B104" s="3587"/>
      <c r="C104" s="2826" t="s">
        <v>2713</v>
      </c>
      <c r="D104" s="2826" t="s">
        <v>2714</v>
      </c>
      <c r="E104" s="2852">
        <v>0.1</v>
      </c>
      <c r="F104" s="2852">
        <v>15</v>
      </c>
    </row>
    <row r="105" spans="1:6" ht="24">
      <c r="A105" s="2852">
        <v>33</v>
      </c>
      <c r="B105" s="3587"/>
      <c r="C105" s="2826" t="s">
        <v>2715</v>
      </c>
      <c r="D105" s="2826" t="s">
        <v>2716</v>
      </c>
      <c r="E105" s="2852">
        <v>0.1</v>
      </c>
      <c r="F105" s="2852">
        <v>15</v>
      </c>
    </row>
    <row r="106" spans="1:6" ht="24">
      <c r="A106" s="2852">
        <v>34</v>
      </c>
      <c r="B106" s="3586"/>
      <c r="C106" s="2826" t="s">
        <v>2717</v>
      </c>
      <c r="D106" s="2826" t="s">
        <v>2718</v>
      </c>
      <c r="E106" s="2852">
        <v>0.1</v>
      </c>
      <c r="F106" s="2852">
        <v>15</v>
      </c>
    </row>
    <row r="107" spans="1:6" ht="24">
      <c r="A107" s="2852">
        <v>35</v>
      </c>
      <c r="B107" s="3585" t="s">
        <v>2719</v>
      </c>
      <c r="C107" s="2852" t="s">
        <v>2720</v>
      </c>
      <c r="D107" s="2826" t="s">
        <v>2721</v>
      </c>
      <c r="E107" s="2852">
        <v>0.15</v>
      </c>
      <c r="F107" s="2852">
        <v>20</v>
      </c>
    </row>
    <row r="108" spans="1:6" ht="13.5">
      <c r="A108" s="2852">
        <v>36</v>
      </c>
      <c r="B108" s="3587"/>
      <c r="C108" s="2852" t="s">
        <v>2722</v>
      </c>
      <c r="D108" s="2826" t="s">
        <v>2723</v>
      </c>
      <c r="E108" s="2852">
        <v>0.15</v>
      </c>
      <c r="F108" s="2852">
        <v>20</v>
      </c>
    </row>
    <row r="109" spans="1:6" ht="13.5">
      <c r="A109" s="2852">
        <v>37</v>
      </c>
      <c r="B109" s="3587"/>
      <c r="C109" s="2852" t="s">
        <v>2724</v>
      </c>
      <c r="D109" s="2826" t="s">
        <v>2725</v>
      </c>
      <c r="E109" s="2852">
        <v>0.15</v>
      </c>
      <c r="F109" s="2852">
        <v>20</v>
      </c>
    </row>
    <row r="110" spans="1:6" ht="13.5">
      <c r="A110" s="2852">
        <v>38</v>
      </c>
      <c r="B110" s="3587"/>
      <c r="C110" s="2852" t="s">
        <v>2726</v>
      </c>
      <c r="D110" s="2826" t="s">
        <v>2727</v>
      </c>
      <c r="E110" s="2852">
        <v>0.1</v>
      </c>
      <c r="F110" s="2852">
        <v>15</v>
      </c>
    </row>
    <row r="111" spans="1:6" ht="24">
      <c r="A111" s="2852">
        <v>39</v>
      </c>
      <c r="B111" s="3587"/>
      <c r="C111" s="2852" t="s">
        <v>2728</v>
      </c>
      <c r="D111" s="2826" t="s">
        <v>2729</v>
      </c>
      <c r="E111" s="2852">
        <v>0.1</v>
      </c>
      <c r="F111" s="2852">
        <v>15</v>
      </c>
    </row>
    <row r="112" spans="1:6" ht="24">
      <c r="A112" s="2852">
        <v>40</v>
      </c>
      <c r="B112" s="3586"/>
      <c r="C112" s="2852" t="s">
        <v>2730</v>
      </c>
      <c r="D112" s="2826" t="s">
        <v>2731</v>
      </c>
      <c r="E112" s="2852">
        <v>0.1</v>
      </c>
      <c r="F112" s="2852">
        <v>15</v>
      </c>
    </row>
    <row r="113" spans="1:6" ht="13.5">
      <c r="A113" s="2852">
        <v>41</v>
      </c>
      <c r="B113" s="3584" t="s">
        <v>2732</v>
      </c>
      <c r="C113" s="2852" t="s">
        <v>2733</v>
      </c>
      <c r="D113" s="2826" t="s">
        <v>2734</v>
      </c>
      <c r="E113" s="2852">
        <v>0.1</v>
      </c>
      <c r="F113" s="2852">
        <v>15</v>
      </c>
    </row>
    <row r="114" spans="1:6" ht="13.5">
      <c r="A114" s="2852">
        <v>42</v>
      </c>
      <c r="B114" s="3584"/>
      <c r="C114" s="2852" t="s">
        <v>2735</v>
      </c>
      <c r="D114" s="2826" t="s">
        <v>2736</v>
      </c>
      <c r="E114" s="2852">
        <v>0.1</v>
      </c>
      <c r="F114" s="2852">
        <v>15</v>
      </c>
    </row>
    <row r="115" spans="1:6" ht="24">
      <c r="A115" s="2852">
        <v>43</v>
      </c>
      <c r="B115" s="3584"/>
      <c r="C115" s="2852" t="s">
        <v>2737</v>
      </c>
      <c r="D115" s="2826" t="s">
        <v>2738</v>
      </c>
      <c r="E115" s="2852">
        <v>0.1</v>
      </c>
      <c r="F115" s="2852">
        <v>15</v>
      </c>
    </row>
    <row r="116" spans="1:6" ht="13.5">
      <c r="A116" s="2852">
        <v>44</v>
      </c>
      <c r="B116" s="3585" t="s">
        <v>2739</v>
      </c>
      <c r="C116" s="2852" t="s">
        <v>2740</v>
      </c>
      <c r="D116" s="2826" t="s">
        <v>2741</v>
      </c>
      <c r="E116" s="2852">
        <v>0.1</v>
      </c>
      <c r="F116" s="2852">
        <v>15</v>
      </c>
    </row>
    <row r="117" spans="1:6" ht="24">
      <c r="A117" s="2852">
        <v>45</v>
      </c>
      <c r="B117" s="3586"/>
      <c r="C117" s="2826" t="s">
        <v>2742</v>
      </c>
      <c r="D117" s="2826" t="s">
        <v>2743</v>
      </c>
      <c r="E117" s="2852">
        <v>0.1</v>
      </c>
      <c r="F117" s="2852">
        <v>15</v>
      </c>
    </row>
    <row r="118" spans="1:6" ht="24">
      <c r="A118" s="2852">
        <v>46</v>
      </c>
      <c r="B118" s="3585" t="s">
        <v>2744</v>
      </c>
      <c r="C118" s="2852" t="s">
        <v>2745</v>
      </c>
      <c r="D118" s="2826" t="s">
        <v>2746</v>
      </c>
      <c r="E118" s="2852">
        <v>0.1</v>
      </c>
      <c r="F118" s="2852">
        <v>15</v>
      </c>
    </row>
    <row r="119" spans="1:6" ht="24">
      <c r="A119" s="2852">
        <v>47</v>
      </c>
      <c r="B119" s="3586"/>
      <c r="C119" s="2852" t="s">
        <v>2747</v>
      </c>
      <c r="D119" s="2826" t="s">
        <v>2748</v>
      </c>
      <c r="E119" s="2852">
        <v>0.1</v>
      </c>
      <c r="F119" s="2852">
        <v>15</v>
      </c>
    </row>
    <row r="120" spans="1:6" ht="13.5">
      <c r="A120" s="2852">
        <v>48</v>
      </c>
      <c r="B120" s="3585" t="s">
        <v>2749</v>
      </c>
      <c r="C120" s="2852" t="s">
        <v>2750</v>
      </c>
      <c r="D120" s="2826" t="s">
        <v>2751</v>
      </c>
      <c r="E120" s="2852">
        <v>0.1</v>
      </c>
      <c r="F120" s="2852">
        <v>15</v>
      </c>
    </row>
    <row r="121" spans="1:6" ht="13.5">
      <c r="A121" s="2852">
        <v>49</v>
      </c>
      <c r="B121" s="3586"/>
      <c r="C121" s="2852" t="s">
        <v>2752</v>
      </c>
      <c r="D121" s="2826" t="s">
        <v>2753</v>
      </c>
      <c r="E121" s="2852">
        <v>0.1</v>
      </c>
      <c r="F121" s="2852">
        <v>15</v>
      </c>
    </row>
    <row r="122" spans="1:6" ht="24">
      <c r="A122" s="2852">
        <v>50</v>
      </c>
      <c r="B122" s="3584" t="s">
        <v>2754</v>
      </c>
      <c r="C122" s="2852" t="s">
        <v>2755</v>
      </c>
      <c r="D122" s="2826" t="s">
        <v>2756</v>
      </c>
      <c r="E122" s="2852">
        <v>0.1</v>
      </c>
      <c r="F122" s="2852">
        <v>15</v>
      </c>
    </row>
    <row r="123" spans="1:6" ht="24">
      <c r="A123" s="2852">
        <v>51</v>
      </c>
      <c r="B123" s="3584"/>
      <c r="C123" s="2852" t="s">
        <v>2757</v>
      </c>
      <c r="D123" s="2826" t="s">
        <v>2758</v>
      </c>
      <c r="E123" s="2852">
        <v>0.1</v>
      </c>
      <c r="F123" s="2852">
        <v>15</v>
      </c>
    </row>
    <row r="124" spans="1:6" ht="24">
      <c r="A124" s="2852">
        <v>52</v>
      </c>
      <c r="B124" s="3584" t="s">
        <v>2759</v>
      </c>
      <c r="C124" s="2852" t="s">
        <v>2760</v>
      </c>
      <c r="D124" s="2826" t="s">
        <v>2761</v>
      </c>
      <c r="E124" s="2852">
        <v>0.1</v>
      </c>
      <c r="F124" s="2852">
        <v>15</v>
      </c>
    </row>
    <row r="125" spans="1:6" ht="24">
      <c r="A125" s="2852">
        <v>53</v>
      </c>
      <c r="B125" s="3584"/>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584" t="s">
        <v>2767</v>
      </c>
      <c r="C127" s="2852" t="s">
        <v>2768</v>
      </c>
      <c r="D127" s="2826" t="s">
        <v>2769</v>
      </c>
      <c r="E127" s="2852">
        <v>0.1</v>
      </c>
      <c r="F127" s="2852">
        <v>15</v>
      </c>
    </row>
    <row r="128" spans="1:6" ht="13.5">
      <c r="A128" s="2852">
        <v>56</v>
      </c>
      <c r="B128" s="3584"/>
      <c r="C128" s="2852" t="s">
        <v>2770</v>
      </c>
      <c r="D128" s="2826" t="s">
        <v>2771</v>
      </c>
      <c r="E128" s="2852">
        <v>0.1</v>
      </c>
      <c r="F128" s="2852">
        <v>15</v>
      </c>
    </row>
    <row r="129" spans="1:6" ht="24">
      <c r="A129" s="2852">
        <v>57</v>
      </c>
      <c r="B129" s="3584"/>
      <c r="C129" s="2852" t="s">
        <v>2772</v>
      </c>
      <c r="D129" s="2826" t="s">
        <v>2773</v>
      </c>
      <c r="E129" s="2852">
        <v>0.1</v>
      </c>
      <c r="F129" s="2852">
        <v>15</v>
      </c>
    </row>
    <row r="130" spans="1:6" ht="24">
      <c r="A130" s="2852">
        <v>58</v>
      </c>
      <c r="B130" s="3584" t="s">
        <v>2774</v>
      </c>
      <c r="C130" s="2852" t="s">
        <v>2775</v>
      </c>
      <c r="D130" s="2826" t="s">
        <v>2776</v>
      </c>
      <c r="E130" s="2852">
        <v>0.1</v>
      </c>
      <c r="F130" s="2852">
        <v>15</v>
      </c>
    </row>
    <row r="131" spans="1:6" ht="13.5">
      <c r="A131" s="2852">
        <v>59</v>
      </c>
      <c r="B131" s="3584"/>
      <c r="C131" s="2852" t="s">
        <v>2777</v>
      </c>
      <c r="D131" s="2826" t="s">
        <v>2778</v>
      </c>
      <c r="E131" s="2852">
        <v>0.1</v>
      </c>
      <c r="F131" s="2852">
        <v>15</v>
      </c>
    </row>
    <row r="132" spans="1:6" ht="13.5">
      <c r="A132" s="2852">
        <v>60</v>
      </c>
      <c r="B132" s="3585" t="s">
        <v>2779</v>
      </c>
      <c r="C132" s="2852" t="s">
        <v>2780</v>
      </c>
      <c r="D132" s="2826" t="s">
        <v>2781</v>
      </c>
      <c r="E132" s="2852">
        <v>0.1</v>
      </c>
      <c r="F132" s="2852">
        <v>15</v>
      </c>
    </row>
    <row r="133" spans="1:6" ht="13.5">
      <c r="A133" s="2852">
        <v>61</v>
      </c>
      <c r="B133" s="3586"/>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584" t="s">
        <v>2787</v>
      </c>
      <c r="C135" s="2852" t="s">
        <v>2788</v>
      </c>
      <c r="D135" s="2826" t="s">
        <v>2789</v>
      </c>
      <c r="E135" s="2852">
        <v>0.1</v>
      </c>
      <c r="F135" s="2852">
        <v>15</v>
      </c>
    </row>
    <row r="136" spans="1:6" ht="13.5">
      <c r="A136" s="2852">
        <v>64</v>
      </c>
      <c r="B136" s="3584"/>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7"/>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83551</v>
      </c>
      <c r="C2" s="2" t="s">
        <v>106</v>
      </c>
      <c r="D2" s="191"/>
      <c r="E2" s="191"/>
      <c r="F2" s="191"/>
      <c r="G2" s="191"/>
    </row>
    <row r="3" spans="1:7" s="192" customFormat="1" ht="18" customHeight="1" thickBot="1">
      <c r="A3" s="195" t="s">
        <v>58</v>
      </c>
      <c r="B3" s="196">
        <f ca="1">ROUND(B2*10000/'数据-汇总表'!E3,0)</f>
        <v>9693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20810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810</v>
      </c>
      <c r="D7" s="212"/>
      <c r="E7" s="210"/>
      <c r="F7" s="213">
        <f>'数据-取费表'!B48+'数据-取费表'!B49</f>
        <v>4.0500000000000001E-2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1027</v>
      </c>
      <c r="D9" s="795">
        <f>'数据-汇总表'!E5</f>
        <v>85571.080000000016</v>
      </c>
      <c r="E9" s="217">
        <f>'数据-取费表'!B27</f>
        <v>120</v>
      </c>
      <c r="F9" s="213"/>
      <c r="G9" s="218"/>
    </row>
    <row r="10" spans="1:7" s="206" customFormat="1" ht="13.5" customHeight="1">
      <c r="A10" s="733" t="s">
        <v>356</v>
      </c>
      <c r="B10" s="216" t="s">
        <v>67</v>
      </c>
      <c r="C10" s="217">
        <f>ROUND(D10*E10/10000,0)</f>
        <v>10</v>
      </c>
      <c r="D10" s="795">
        <f>'数据-汇总表'!E6</f>
        <v>625.88000000000466</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1724</v>
      </c>
      <c r="D19" s="204">
        <f>'数据-汇总表'!E3</f>
        <v>86196.960000000021</v>
      </c>
      <c r="E19" s="203">
        <f>'数据-取费表'!B31</f>
        <v>200</v>
      </c>
      <c r="F19" s="223"/>
      <c r="G19" s="1" t="s">
        <v>436</v>
      </c>
    </row>
    <row r="20" spans="1:7" s="206" customFormat="1" ht="13.5" customHeight="1">
      <c r="A20" s="731" t="s">
        <v>419</v>
      </c>
      <c r="B20" s="202" t="s">
        <v>77</v>
      </c>
      <c r="C20" s="224">
        <f>ROUND((C5+C19)*F20,0)</f>
        <v>676</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1605</v>
      </c>
      <c r="D22" s="227">
        <f ca="1">C26</f>
        <v>1E-3</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1461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121</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3482</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3482</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31056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39205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32755</v>
      </c>
      <c r="D34" s="209"/>
      <c r="E34" s="212"/>
      <c r="F34" s="249">
        <f>IF('数据-取费表'!B24=0,1,'数据-取费表'!N16)</f>
        <v>1</v>
      </c>
      <c r="G34" s="211" t="s">
        <v>89</v>
      </c>
    </row>
    <row r="35" spans="1:7" ht="13.5" customHeight="1">
      <c r="A35" s="734" t="s">
        <v>351</v>
      </c>
      <c r="B35" s="207" t="s">
        <v>33</v>
      </c>
      <c r="C35" s="212">
        <f>ROUND(C34*F35,0)</f>
        <v>983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3252</v>
      </c>
      <c r="D36" s="212"/>
      <c r="E36" s="212"/>
      <c r="F36" s="251">
        <f>'数据-取费表'!B34</f>
        <v>0.1</v>
      </c>
      <c r="G36" s="252" t="s">
        <v>35</v>
      </c>
    </row>
    <row r="37" spans="1:7" s="250" customFormat="1" ht="13.5" customHeight="1">
      <c r="A37" s="734" t="s">
        <v>353</v>
      </c>
      <c r="B37" s="207" t="s">
        <v>91</v>
      </c>
      <c r="C37" s="241">
        <f>ROUND(E37*D37*F34/10000,0)</f>
        <v>1724</v>
      </c>
      <c r="D37" s="209">
        <f>'数据-汇总表'!E3</f>
        <v>86196.960000000021</v>
      </c>
      <c r="E37" s="241">
        <f>'数据-取费表'!B35</f>
        <v>200</v>
      </c>
      <c r="F37" s="251"/>
      <c r="G37" s="253" t="s">
        <v>92</v>
      </c>
    </row>
    <row r="38" spans="1:7" ht="13.5" customHeight="1">
      <c r="A38" s="734" t="s">
        <v>354</v>
      </c>
      <c r="B38" s="207" t="s">
        <v>36</v>
      </c>
      <c r="C38" s="212">
        <f>ROUND(C34*F38,0)</f>
        <v>491</v>
      </c>
      <c r="D38" s="212"/>
      <c r="E38" s="212"/>
      <c r="F38" s="251">
        <f>'数据-取费表'!B36</f>
        <v>1.4999999999999999E-2</v>
      </c>
      <c r="G38" s="211" t="s">
        <v>90</v>
      </c>
    </row>
    <row r="39" spans="1:7" s="206" customFormat="1" ht="13.5" customHeight="1">
      <c r="A39" s="731" t="s">
        <v>338</v>
      </c>
      <c r="B39" s="202" t="s">
        <v>77</v>
      </c>
      <c r="C39" s="224">
        <f>ROUND(C33*F20,0)</f>
        <v>1176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1394</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1353</v>
      </c>
      <c r="D42" s="230"/>
      <c r="E42" s="230"/>
      <c r="F42" s="231"/>
      <c r="G42" s="3504" t="s">
        <v>94</v>
      </c>
    </row>
    <row r="43" spans="1:7" ht="13.5" customHeight="1">
      <c r="A43" s="734" t="s">
        <v>347</v>
      </c>
      <c r="B43" s="207" t="s">
        <v>426</v>
      </c>
      <c r="C43" s="230">
        <f ca="1">ROUND(IF('数据-取费表'!B22&lt;=1,C39*F22*'数据-取费表'!B21/2,C39*(POWER((1+F22),'数据-取费表'!B21/2)-1)),0)</f>
        <v>41</v>
      </c>
      <c r="D43" s="230"/>
      <c r="E43" s="230"/>
      <c r="F43" s="231"/>
      <c r="G43" s="3505"/>
    </row>
    <row r="44" spans="1:7" ht="13.5" customHeight="1">
      <c r="A44" s="734" t="s">
        <v>348</v>
      </c>
      <c r="B44" s="207" t="s">
        <v>428</v>
      </c>
      <c r="C44" s="230">
        <f ca="1">ROUND(IF('数据-取费表'!B22&lt;=1,C40*F22*'数据-取费表'!B21/2,C40*(POWER((1+F22),'数据-取费表'!B21/2)-1)),4)</f>
        <v>1E-3</v>
      </c>
      <c r="D44" s="230"/>
      <c r="E44" s="230"/>
      <c r="F44" s="231"/>
      <c r="G44" s="3506"/>
    </row>
    <row r="45" spans="1:7" s="206" customFormat="1" ht="13.5" customHeight="1">
      <c r="A45" s="731" t="s">
        <v>341</v>
      </c>
      <c r="B45" s="236" t="s">
        <v>85</v>
      </c>
      <c r="C45" s="237">
        <f>C46</f>
        <v>6057</v>
      </c>
      <c r="D45" s="227">
        <f>C47</f>
        <v>4.4999999999999997E-3</v>
      </c>
      <c r="E45" s="228" t="s">
        <v>102</v>
      </c>
      <c r="F45" s="238"/>
      <c r="G45" s="239" t="s">
        <v>434</v>
      </c>
    </row>
    <row r="46" spans="1:7" s="206" customFormat="1" ht="13.5" customHeight="1">
      <c r="A46" s="734" t="s">
        <v>349</v>
      </c>
      <c r="B46" s="240" t="s">
        <v>427</v>
      </c>
      <c r="C46" s="241">
        <f>ROUND((C33+C39)*F27,0)</f>
        <v>6057</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52495</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52495</v>
      </c>
      <c r="D51" s="224"/>
      <c r="E51" s="224"/>
      <c r="F51" s="256"/>
      <c r="G51" s="226" t="s">
        <v>37</v>
      </c>
    </row>
    <row r="52" spans="1:7" s="200" customFormat="1" ht="16.5" thickBot="1">
      <c r="A52" s="257" t="s">
        <v>38</v>
      </c>
      <c r="B52" s="258"/>
      <c r="C52" s="259">
        <f ca="1">C31+C51</f>
        <v>83551</v>
      </c>
      <c r="D52" s="258"/>
      <c r="E52" s="258"/>
      <c r="F52" s="258"/>
      <c r="G52" s="260"/>
    </row>
    <row r="55" spans="1:7" ht="15">
      <c r="B55" s="262" t="s">
        <v>39</v>
      </c>
      <c r="C55" s="263"/>
    </row>
    <row r="56" spans="1:7">
      <c r="B56" s="265" t="s">
        <v>40</v>
      </c>
      <c r="C56" s="266">
        <f ca="1">ROUND(C51/C52,3)</f>
        <v>0.628</v>
      </c>
    </row>
    <row r="57" spans="1:7">
      <c r="B57" s="265" t="s">
        <v>41</v>
      </c>
      <c r="C57" s="267">
        <f ca="1">1-C56</f>
        <v>0.372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98" t="s">
        <v>2837</v>
      </c>
      <c r="B1" s="3598"/>
      <c r="C1" s="3598"/>
      <c r="D1" s="3598"/>
      <c r="E1" s="3598"/>
      <c r="F1" s="3598"/>
      <c r="G1" s="3599"/>
      <c r="I1" s="2933" t="s">
        <v>2838</v>
      </c>
      <c r="J1" s="2934" t="s">
        <v>2839</v>
      </c>
      <c r="K1" s="2934" t="s">
        <v>2840</v>
      </c>
      <c r="L1" s="2934" t="s">
        <v>2841</v>
      </c>
      <c r="M1" s="2934" t="s">
        <v>2842</v>
      </c>
      <c r="N1" s="2934" t="s">
        <v>2843</v>
      </c>
      <c r="O1" s="2934" t="s">
        <v>2844</v>
      </c>
      <c r="P1" s="2934" t="s">
        <v>2845</v>
      </c>
      <c r="Q1" s="2934" t="s">
        <v>2846</v>
      </c>
      <c r="R1" s="2934" t="s">
        <v>2847</v>
      </c>
      <c r="S1" s="2934" t="s">
        <v>2848</v>
      </c>
      <c r="T1" s="2935" t="s">
        <v>2849</v>
      </c>
    </row>
    <row r="2" spans="1:20" ht="12" thickBot="1">
      <c r="A2" s="2936" t="s">
        <v>2850</v>
      </c>
      <c r="B2" s="2936"/>
      <c r="C2" s="2936"/>
      <c r="D2" s="2936"/>
      <c r="E2" s="2936"/>
      <c r="F2" s="2936"/>
      <c r="G2" s="2937" t="s">
        <v>2851</v>
      </c>
      <c r="I2" s="2938" t="s">
        <v>2852</v>
      </c>
      <c r="J2" s="2938" t="s">
        <v>2853</v>
      </c>
      <c r="K2" s="2938" t="s">
        <v>2854</v>
      </c>
      <c r="L2" s="2938" t="s">
        <v>2855</v>
      </c>
      <c r="M2" s="2938" t="s">
        <v>2856</v>
      </c>
      <c r="N2" s="2938" t="s">
        <v>2857</v>
      </c>
      <c r="O2" s="2938" t="s">
        <v>2858</v>
      </c>
      <c r="P2" s="2938" t="s">
        <v>2859</v>
      </c>
      <c r="Q2" s="2938" t="s">
        <v>2860</v>
      </c>
      <c r="R2" s="2938" t="s">
        <v>2861</v>
      </c>
      <c r="S2" s="2938" t="s">
        <v>2862</v>
      </c>
      <c r="T2" s="2938" t="s">
        <v>2863</v>
      </c>
    </row>
    <row r="3" spans="1:20" s="2944" customFormat="1">
      <c r="A3" s="3596" t="s">
        <v>2864</v>
      </c>
      <c r="B3" s="2939"/>
      <c r="C3" s="2940" t="s">
        <v>2809</v>
      </c>
      <c r="D3" s="2940" t="s">
        <v>2865</v>
      </c>
      <c r="E3" s="2940" t="s">
        <v>2811</v>
      </c>
      <c r="F3" s="2940" t="s">
        <v>2866</v>
      </c>
      <c r="G3" s="2940" t="s">
        <v>2629</v>
      </c>
      <c r="H3" s="2941"/>
      <c r="I3" s="2942" t="s">
        <v>2867</v>
      </c>
      <c r="J3" s="2943" t="s">
        <v>128</v>
      </c>
      <c r="K3" s="2943" t="s">
        <v>129</v>
      </c>
      <c r="L3" s="2942" t="s">
        <v>130</v>
      </c>
      <c r="M3" s="2942" t="s">
        <v>131</v>
      </c>
      <c r="N3" s="2942" t="s">
        <v>132</v>
      </c>
      <c r="O3" s="2942" t="s">
        <v>133</v>
      </c>
      <c r="P3" s="2942" t="s">
        <v>134</v>
      </c>
      <c r="Q3" s="2942" t="s">
        <v>135</v>
      </c>
      <c r="R3" s="2942" t="s">
        <v>136</v>
      </c>
      <c r="S3" s="2942" t="s">
        <v>2868</v>
      </c>
      <c r="T3" s="2942" t="s">
        <v>2869</v>
      </c>
    </row>
    <row r="4" spans="1:20" s="2944" customFormat="1" ht="12" thickBot="1">
      <c r="A4" s="3597"/>
      <c r="B4" s="2945" t="s">
        <v>2870</v>
      </c>
      <c r="C4" s="2945" t="s">
        <v>2871</v>
      </c>
      <c r="D4" s="2945" t="s">
        <v>2871</v>
      </c>
      <c r="E4" s="2945" t="s">
        <v>2871</v>
      </c>
      <c r="F4" s="2946" t="s">
        <v>2871</v>
      </c>
      <c r="G4" s="2946" t="s">
        <v>2871</v>
      </c>
      <c r="H4" s="2941"/>
      <c r="I4" s="2943" t="s">
        <v>137</v>
      </c>
      <c r="J4" s="2943" t="s">
        <v>111</v>
      </c>
      <c r="K4" s="2943" t="s">
        <v>138</v>
      </c>
      <c r="L4" s="2942" t="s">
        <v>139</v>
      </c>
      <c r="M4" s="2942" t="s">
        <v>140</v>
      </c>
      <c r="N4" s="2942" t="s">
        <v>141</v>
      </c>
      <c r="O4" s="2942" t="s">
        <v>142</v>
      </c>
      <c r="P4" s="2942" t="s">
        <v>143</v>
      </c>
      <c r="Q4" s="2942" t="s">
        <v>2872</v>
      </c>
      <c r="R4" s="2942" t="s">
        <v>2873</v>
      </c>
      <c r="S4" s="2942" t="s">
        <v>2874</v>
      </c>
      <c r="T4" s="2942" t="s">
        <v>2875</v>
      </c>
    </row>
    <row r="5" spans="1:20">
      <c r="A5" s="2947" t="s">
        <v>2838</v>
      </c>
      <c r="B5" s="2938" t="s">
        <v>2852</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2876</v>
      </c>
      <c r="R5" s="2942" t="s">
        <v>2877</v>
      </c>
      <c r="S5" s="2942" t="s">
        <v>153</v>
      </c>
      <c r="T5" s="2942" t="s">
        <v>2878</v>
      </c>
    </row>
    <row r="6" spans="1:20" ht="12" thickBot="1">
      <c r="A6" s="2942" t="s">
        <v>144</v>
      </c>
      <c r="B6" s="2942" t="s">
        <v>2867</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2879</v>
      </c>
      <c r="Q6" s="2942" t="s">
        <v>2880</v>
      </c>
      <c r="R6" s="2942" t="s">
        <v>161</v>
      </c>
      <c r="S6" s="2942" t="s">
        <v>2881</v>
      </c>
      <c r="T6" s="2942" t="s">
        <v>2882</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2883</v>
      </c>
      <c r="Q7" s="2942" t="s">
        <v>2884</v>
      </c>
      <c r="R7" s="2942" t="s">
        <v>2885</v>
      </c>
      <c r="S7" s="2942" t="s">
        <v>2886</v>
      </c>
      <c r="T7" s="2942" t="s">
        <v>2887</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2888</v>
      </c>
      <c r="Q8" s="2942" t="s">
        <v>174</v>
      </c>
      <c r="R8" s="2942" t="s">
        <v>2889</v>
      </c>
      <c r="S8" s="2942" t="s">
        <v>2890</v>
      </c>
      <c r="T8" s="2949" t="s">
        <v>2891</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2892</v>
      </c>
      <c r="Q9" s="2942" t="s">
        <v>182</v>
      </c>
      <c r="R9" s="2942" t="s">
        <v>183</v>
      </c>
      <c r="S9" s="2942" t="s">
        <v>200</v>
      </c>
    </row>
    <row r="10" spans="1:20">
      <c r="A10" s="2947" t="s">
        <v>184</v>
      </c>
      <c r="B10" s="2938" t="s">
        <v>2853</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2893</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2894</v>
      </c>
      <c r="P11" s="2942" t="s">
        <v>191</v>
      </c>
      <c r="Q11" s="2942" t="s">
        <v>199</v>
      </c>
      <c r="R11" s="2942" t="s">
        <v>2895</v>
      </c>
      <c r="S11" s="2942" t="s">
        <v>2896</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2897</v>
      </c>
      <c r="P12" s="2942" t="s">
        <v>2898</v>
      </c>
      <c r="Q12" s="2942" t="s">
        <v>2899</v>
      </c>
      <c r="R12" s="2942" t="s">
        <v>2900</v>
      </c>
      <c r="S12" s="2942" t="s">
        <v>2901</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2902</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2903</v>
      </c>
      <c r="K14" s="2943" t="s">
        <v>215</v>
      </c>
      <c r="L14" s="2942" t="s">
        <v>216</v>
      </c>
      <c r="M14" s="2942" t="s">
        <v>217</v>
      </c>
      <c r="N14" s="2942" t="s">
        <v>218</v>
      </c>
      <c r="O14" s="2942" t="s">
        <v>240</v>
      </c>
      <c r="P14" s="2942" t="s">
        <v>213</v>
      </c>
      <c r="Q14" s="2942" t="s">
        <v>2904</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2905</v>
      </c>
      <c r="P15" s="2942" t="s">
        <v>2906</v>
      </c>
      <c r="Q15" s="2942" t="s">
        <v>242</v>
      </c>
      <c r="R15" s="2942" t="s">
        <v>2907</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2908</v>
      </c>
      <c r="P16" s="2942" t="s">
        <v>227</v>
      </c>
      <c r="Q16" s="2942" t="s">
        <v>250</v>
      </c>
      <c r="R16" s="2942" t="s">
        <v>207</v>
      </c>
      <c r="S16" s="2942" t="s">
        <v>2909</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2910</v>
      </c>
      <c r="P17" s="2942" t="s">
        <v>2911</v>
      </c>
      <c r="Q17" s="2942" t="s">
        <v>256</v>
      </c>
      <c r="R17" s="2942" t="s">
        <v>2912</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2913</v>
      </c>
      <c r="P18" s="2942" t="s">
        <v>241</v>
      </c>
      <c r="Q18" s="2942" t="s">
        <v>2914</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2915</v>
      </c>
      <c r="P19" s="2942" t="s">
        <v>249</v>
      </c>
      <c r="Q19" s="2942" t="s">
        <v>2916</v>
      </c>
      <c r="R19" s="2942" t="s">
        <v>265</v>
      </c>
      <c r="S19" s="2942" t="s">
        <v>2917</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2918</v>
      </c>
      <c r="P20" s="2942" t="s">
        <v>2919</v>
      </c>
      <c r="Q20" s="2942" t="s">
        <v>290</v>
      </c>
      <c r="R20" s="2942" t="s">
        <v>2920</v>
      </c>
      <c r="S20" s="2942" t="s">
        <v>277</v>
      </c>
    </row>
    <row r="21" spans="1:19" ht="14.25" customHeight="1" thickBot="1">
      <c r="A21" s="2942" t="s">
        <v>184</v>
      </c>
      <c r="B21" s="2943" t="s">
        <v>208</v>
      </c>
      <c r="C21" s="2942">
        <v>32370</v>
      </c>
      <c r="D21" s="2942">
        <v>26730</v>
      </c>
      <c r="E21" s="2942">
        <v>26640</v>
      </c>
      <c r="F21" s="2942"/>
      <c r="G21" s="2942">
        <v>19440</v>
      </c>
      <c r="J21" s="2949" t="s">
        <v>2921</v>
      </c>
      <c r="K21" s="2943" t="s">
        <v>267</v>
      </c>
      <c r="L21" s="2942" t="s">
        <v>268</v>
      </c>
      <c r="M21" s="2942" t="s">
        <v>269</v>
      </c>
      <c r="N21" s="2942" t="s">
        <v>270</v>
      </c>
      <c r="O21" s="2942" t="s">
        <v>264</v>
      </c>
      <c r="P21" s="2942" t="s">
        <v>283</v>
      </c>
      <c r="Q21" s="2942" t="s">
        <v>293</v>
      </c>
      <c r="R21" s="2942" t="s">
        <v>2922</v>
      </c>
      <c r="S21" s="2949" t="s">
        <v>2923</v>
      </c>
    </row>
    <row r="22" spans="1:19" ht="14.25" customHeight="1">
      <c r="A22" s="2942" t="s">
        <v>184</v>
      </c>
      <c r="B22" s="2943" t="s">
        <v>2903</v>
      </c>
      <c r="C22" s="2942">
        <v>29830</v>
      </c>
      <c r="D22" s="2942">
        <v>27600</v>
      </c>
      <c r="E22" s="2942">
        <v>28150</v>
      </c>
      <c r="F22" s="2942"/>
      <c r="G22" s="2942">
        <v>20080</v>
      </c>
      <c r="K22" s="2943" t="s">
        <v>2924</v>
      </c>
      <c r="L22" s="2942" t="s">
        <v>272</v>
      </c>
      <c r="M22" s="2942" t="s">
        <v>273</v>
      </c>
      <c r="N22" s="2942" t="s">
        <v>274</v>
      </c>
      <c r="O22" s="2942" t="s">
        <v>2925</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2926</v>
      </c>
      <c r="L23" s="2942" t="s">
        <v>278</v>
      </c>
      <c r="M23" s="2942" t="s">
        <v>279</v>
      </c>
      <c r="N23" s="2942" t="s">
        <v>2927</v>
      </c>
      <c r="O23" s="2942" t="s">
        <v>2928</v>
      </c>
      <c r="P23" s="2942" t="s">
        <v>289</v>
      </c>
      <c r="Q23" s="2942" t="s">
        <v>298</v>
      </c>
      <c r="R23" s="2942" t="s">
        <v>2929</v>
      </c>
    </row>
    <row r="24" spans="1:19" ht="14.25" customHeight="1">
      <c r="A24" s="2942" t="s">
        <v>184</v>
      </c>
      <c r="B24" s="2943" t="s">
        <v>230</v>
      </c>
      <c r="C24" s="2942">
        <v>27930</v>
      </c>
      <c r="D24" s="2942">
        <v>32260</v>
      </c>
      <c r="E24" s="2942">
        <v>32120</v>
      </c>
      <c r="F24" s="2942"/>
      <c r="G24" s="2942">
        <v>23470</v>
      </c>
      <c r="K24" s="2943" t="s">
        <v>2930</v>
      </c>
      <c r="L24" s="2942" t="s">
        <v>281</v>
      </c>
      <c r="M24" s="2942" t="s">
        <v>282</v>
      </c>
      <c r="N24" s="2942" t="s">
        <v>2931</v>
      </c>
      <c r="O24" s="2942" t="s">
        <v>285</v>
      </c>
      <c r="P24" s="2942" t="s">
        <v>2932</v>
      </c>
      <c r="Q24" s="2951" t="s">
        <v>2933</v>
      </c>
      <c r="R24" s="2942" t="s">
        <v>2934</v>
      </c>
    </row>
    <row r="25" spans="1:19" ht="14.25" customHeight="1">
      <c r="A25" s="2942" t="s">
        <v>184</v>
      </c>
      <c r="B25" s="2943" t="s">
        <v>235</v>
      </c>
      <c r="C25" s="2942">
        <v>32230</v>
      </c>
      <c r="D25" s="2942">
        <v>29640</v>
      </c>
      <c r="E25" s="2942">
        <v>29510</v>
      </c>
      <c r="F25" s="2942"/>
      <c r="G25" s="2942">
        <v>21560</v>
      </c>
      <c r="K25" s="2943" t="s">
        <v>2935</v>
      </c>
      <c r="L25" s="2942" t="s">
        <v>2936</v>
      </c>
      <c r="M25" s="2942" t="s">
        <v>284</v>
      </c>
      <c r="N25" s="2942" t="s">
        <v>292</v>
      </c>
      <c r="O25" s="2942" t="s">
        <v>288</v>
      </c>
      <c r="P25" s="2942" t="s">
        <v>275</v>
      </c>
      <c r="Q25" s="2951" t="s">
        <v>271</v>
      </c>
      <c r="R25" s="2942" t="s">
        <v>2937</v>
      </c>
    </row>
    <row r="26" spans="1:19" ht="14.25" customHeight="1" thickBot="1">
      <c r="A26" s="2942" t="s">
        <v>184</v>
      </c>
      <c r="B26" s="2943" t="s">
        <v>244</v>
      </c>
      <c r="C26" s="2942">
        <v>31690</v>
      </c>
      <c r="D26" s="2942">
        <v>27650</v>
      </c>
      <c r="E26" s="2942">
        <v>28200</v>
      </c>
      <c r="F26" s="2942"/>
      <c r="G26" s="2942">
        <v>20110</v>
      </c>
      <c r="K26" s="2948" t="s">
        <v>2938</v>
      </c>
      <c r="L26" s="2942" t="s">
        <v>2939</v>
      </c>
      <c r="M26" s="2942" t="s">
        <v>287</v>
      </c>
      <c r="N26" s="2942" t="s">
        <v>294</v>
      </c>
      <c r="O26" s="2942" t="s">
        <v>2940</v>
      </c>
      <c r="P26" s="2942" t="s">
        <v>2941</v>
      </c>
      <c r="Q26" s="2951" t="s">
        <v>276</v>
      </c>
      <c r="R26" s="2942" t="s">
        <v>2942</v>
      </c>
    </row>
    <row r="27" spans="1:19" ht="14.25" customHeight="1">
      <c r="A27" s="2942" t="s">
        <v>184</v>
      </c>
      <c r="B27" s="2943" t="s">
        <v>251</v>
      </c>
      <c r="C27" s="2942">
        <v>29610</v>
      </c>
      <c r="D27" s="2942">
        <v>27770</v>
      </c>
      <c r="E27" s="2942">
        <v>28300</v>
      </c>
      <c r="F27" s="2942"/>
      <c r="G27" s="2942">
        <v>20210</v>
      </c>
      <c r="L27" s="2942" t="s">
        <v>2943</v>
      </c>
      <c r="M27" s="2942" t="s">
        <v>291</v>
      </c>
      <c r="N27" s="2942" t="s">
        <v>297</v>
      </c>
      <c r="O27" s="2942" t="s">
        <v>2944</v>
      </c>
      <c r="P27" s="2942" t="s">
        <v>2945</v>
      </c>
      <c r="Q27" s="2942" t="s">
        <v>2946</v>
      </c>
      <c r="R27" s="2942" t="s">
        <v>2947</v>
      </c>
    </row>
    <row r="28" spans="1:19" ht="14.25" customHeight="1">
      <c r="A28" s="2942" t="s">
        <v>184</v>
      </c>
      <c r="B28" s="2943" t="s">
        <v>259</v>
      </c>
      <c r="C28" s="2942"/>
      <c r="D28" s="2942">
        <v>31520</v>
      </c>
      <c r="E28" s="2942">
        <v>31410</v>
      </c>
      <c r="F28" s="2942"/>
      <c r="G28" s="2942">
        <v>22940</v>
      </c>
      <c r="L28" s="2942" t="s">
        <v>2948</v>
      </c>
      <c r="M28" s="2942" t="s">
        <v>2949</v>
      </c>
      <c r="N28" s="2942" t="s">
        <v>2950</v>
      </c>
      <c r="O28" s="2942" t="s">
        <v>2951</v>
      </c>
      <c r="P28" s="2942" t="s">
        <v>2952</v>
      </c>
      <c r="Q28" s="2942" t="s">
        <v>2953</v>
      </c>
      <c r="R28" s="2942" t="s">
        <v>2954</v>
      </c>
    </row>
    <row r="29" spans="1:19" ht="14.25" customHeight="1" thickBot="1">
      <c r="A29" s="2950" t="s">
        <v>184</v>
      </c>
      <c r="B29" s="2952" t="s">
        <v>2921</v>
      </c>
      <c r="C29" s="2953"/>
      <c r="D29" s="2953">
        <v>29460</v>
      </c>
      <c r="E29" s="2953">
        <v>28640</v>
      </c>
      <c r="F29" s="2953"/>
      <c r="G29" s="2953">
        <v>21430</v>
      </c>
      <c r="L29" s="2942" t="s">
        <v>2955</v>
      </c>
      <c r="M29" s="2942" t="s">
        <v>2956</v>
      </c>
      <c r="N29" s="2942" t="s">
        <v>2957</v>
      </c>
      <c r="O29" s="2942" t="s">
        <v>2958</v>
      </c>
      <c r="P29" s="2942" t="s">
        <v>2959</v>
      </c>
      <c r="Q29" s="2942" t="s">
        <v>2960</v>
      </c>
      <c r="R29" s="2942" t="s">
        <v>280</v>
      </c>
    </row>
    <row r="30" spans="1:19" ht="14.25" customHeight="1">
      <c r="A30" s="2947" t="s">
        <v>296</v>
      </c>
      <c r="B30" s="2938" t="s">
        <v>2854</v>
      </c>
      <c r="C30" s="2938">
        <v>26890</v>
      </c>
      <c r="D30" s="2938">
        <v>26770</v>
      </c>
      <c r="E30" s="2938">
        <v>25700</v>
      </c>
      <c r="F30" s="2938">
        <v>8180</v>
      </c>
      <c r="G30" s="2954">
        <v>18740</v>
      </c>
      <c r="L30" s="2942" t="s">
        <v>2961</v>
      </c>
      <c r="M30" s="2942" t="s">
        <v>2962</v>
      </c>
      <c r="N30" s="2942" t="s">
        <v>2963</v>
      </c>
      <c r="O30" s="2942" t="s">
        <v>2964</v>
      </c>
      <c r="P30" s="2942" t="s">
        <v>2965</v>
      </c>
      <c r="Q30" s="2942" t="s">
        <v>2966</v>
      </c>
      <c r="R30" s="2942" t="s">
        <v>2967</v>
      </c>
    </row>
    <row r="31" spans="1:19" ht="14.25" customHeight="1">
      <c r="A31" s="2942" t="s">
        <v>296</v>
      </c>
      <c r="B31" s="2943" t="s">
        <v>129</v>
      </c>
      <c r="C31" s="2942">
        <v>24550</v>
      </c>
      <c r="D31" s="2942">
        <v>23990</v>
      </c>
      <c r="E31" s="2942">
        <v>22930</v>
      </c>
      <c r="F31" s="2942">
        <v>7470</v>
      </c>
      <c r="G31" s="2955">
        <v>16790</v>
      </c>
      <c r="L31" s="2942" t="s">
        <v>2968</v>
      </c>
      <c r="M31" s="2942" t="s">
        <v>2969</v>
      </c>
      <c r="N31" s="2942" t="s">
        <v>2970</v>
      </c>
      <c r="O31" s="2942" t="s">
        <v>2971</v>
      </c>
      <c r="P31" s="2942" t="s">
        <v>2972</v>
      </c>
      <c r="Q31" s="2942" t="s">
        <v>2973</v>
      </c>
      <c r="R31" s="2942" t="s">
        <v>2974</v>
      </c>
    </row>
    <row r="32" spans="1:19" ht="14.25" customHeight="1" thickBot="1">
      <c r="A32" s="2942" t="s">
        <v>296</v>
      </c>
      <c r="B32" s="2943" t="s">
        <v>138</v>
      </c>
      <c r="C32" s="2942">
        <v>27210</v>
      </c>
      <c r="D32" s="2942">
        <v>23240</v>
      </c>
      <c r="E32" s="2942">
        <v>23260</v>
      </c>
      <c r="F32" s="2942">
        <v>7130</v>
      </c>
      <c r="G32" s="2955">
        <v>16270</v>
      </c>
      <c r="L32" s="2942" t="s">
        <v>2975</v>
      </c>
      <c r="M32" s="2942" t="s">
        <v>2976</v>
      </c>
      <c r="N32" s="2942" t="s">
        <v>300</v>
      </c>
      <c r="O32" s="2942" t="s">
        <v>2977</v>
      </c>
      <c r="P32" s="2942" t="s">
        <v>299</v>
      </c>
      <c r="Q32" s="2942" t="s">
        <v>2978</v>
      </c>
      <c r="R32" s="2949" t="s">
        <v>2979</v>
      </c>
    </row>
    <row r="33" spans="1:17" ht="14.25" customHeight="1" thickBot="1">
      <c r="A33" s="2942" t="s">
        <v>296</v>
      </c>
      <c r="B33" s="2943" t="s">
        <v>147</v>
      </c>
      <c r="C33" s="2942">
        <v>27300</v>
      </c>
      <c r="D33" s="2942">
        <v>22980</v>
      </c>
      <c r="E33" s="2942">
        <v>24260</v>
      </c>
      <c r="F33" s="2942">
        <v>5860</v>
      </c>
      <c r="G33" s="2955">
        <v>16090</v>
      </c>
      <c r="L33" s="2949" t="s">
        <v>2980</v>
      </c>
      <c r="M33" s="2942" t="s">
        <v>2981</v>
      </c>
      <c r="N33" s="2942" t="s">
        <v>301</v>
      </c>
      <c r="O33" s="2942" t="s">
        <v>2982</v>
      </c>
      <c r="P33" s="2942" t="s">
        <v>2983</v>
      </c>
      <c r="Q33" s="2942" t="s">
        <v>2984</v>
      </c>
    </row>
    <row r="34" spans="1:17" ht="14.25" customHeight="1">
      <c r="A34" s="2942" t="s">
        <v>296</v>
      </c>
      <c r="B34" s="2943" t="s">
        <v>156</v>
      </c>
      <c r="C34" s="2942">
        <v>23090</v>
      </c>
      <c r="D34" s="2942">
        <v>23390</v>
      </c>
      <c r="E34" s="2942">
        <v>23510</v>
      </c>
      <c r="F34" s="2942">
        <v>6700</v>
      </c>
      <c r="G34" s="2955">
        <v>16370</v>
      </c>
      <c r="M34" s="2942" t="s">
        <v>2985</v>
      </c>
      <c r="N34" s="2942" t="s">
        <v>302</v>
      </c>
      <c r="O34" s="2942" t="s">
        <v>2986</v>
      </c>
      <c r="P34" s="2942" t="s">
        <v>2987</v>
      </c>
      <c r="Q34" s="2942" t="s">
        <v>2988</v>
      </c>
    </row>
    <row r="35" spans="1:17" ht="14.25" customHeight="1">
      <c r="A35" s="2942" t="s">
        <v>296</v>
      </c>
      <c r="B35" s="2943" t="s">
        <v>163</v>
      </c>
      <c r="C35" s="2942">
        <v>27270</v>
      </c>
      <c r="D35" s="2942">
        <v>24270</v>
      </c>
      <c r="E35" s="2942">
        <v>24950</v>
      </c>
      <c r="F35" s="2942">
        <v>6600</v>
      </c>
      <c r="G35" s="2955">
        <v>16990</v>
      </c>
      <c r="M35" s="2942" t="s">
        <v>2989</v>
      </c>
      <c r="N35" s="2942" t="s">
        <v>2990</v>
      </c>
      <c r="O35" s="2942" t="s">
        <v>2991</v>
      </c>
      <c r="P35" s="2942" t="s">
        <v>2992</v>
      </c>
      <c r="Q35" s="2942" t="s">
        <v>2993</v>
      </c>
    </row>
    <row r="36" spans="1:17" ht="14.25" customHeight="1">
      <c r="A36" s="2942" t="s">
        <v>296</v>
      </c>
      <c r="B36" s="2943" t="s">
        <v>169</v>
      </c>
      <c r="C36" s="2942">
        <v>23490</v>
      </c>
      <c r="D36" s="2942">
        <v>23020</v>
      </c>
      <c r="E36" s="2942">
        <v>25230</v>
      </c>
      <c r="F36" s="2942">
        <v>6780</v>
      </c>
      <c r="G36" s="2955">
        <v>16120</v>
      </c>
      <c r="M36" s="2942" t="s">
        <v>2994</v>
      </c>
      <c r="N36" s="2942" t="s">
        <v>2995</v>
      </c>
      <c r="O36" s="2942" t="s">
        <v>2996</v>
      </c>
      <c r="P36" s="2942" t="s">
        <v>2997</v>
      </c>
      <c r="Q36" s="2942" t="s">
        <v>2998</v>
      </c>
    </row>
    <row r="37" spans="1:17" ht="14.25" customHeight="1">
      <c r="A37" s="2942" t="s">
        <v>296</v>
      </c>
      <c r="B37" s="2943" t="s">
        <v>176</v>
      </c>
      <c r="C37" s="2942">
        <v>24380</v>
      </c>
      <c r="D37" s="2942">
        <v>22240</v>
      </c>
      <c r="E37" s="2942">
        <v>25980</v>
      </c>
      <c r="F37" s="2942">
        <v>8160</v>
      </c>
      <c r="G37" s="2955">
        <v>15570</v>
      </c>
      <c r="M37" s="2942" t="s">
        <v>2999</v>
      </c>
      <c r="N37" s="2942" t="s">
        <v>3000</v>
      </c>
      <c r="O37" s="2942" t="s">
        <v>3001</v>
      </c>
      <c r="P37" s="2942" t="s">
        <v>3002</v>
      </c>
      <c r="Q37" s="2942" t="s">
        <v>3003</v>
      </c>
    </row>
    <row r="38" spans="1:17" ht="14.25" customHeight="1">
      <c r="A38" s="2942" t="s">
        <v>296</v>
      </c>
      <c r="B38" s="2943" t="s">
        <v>186</v>
      </c>
      <c r="C38" s="2942">
        <v>23120</v>
      </c>
      <c r="D38" s="2942">
        <v>24630</v>
      </c>
      <c r="E38" s="2942">
        <v>25030</v>
      </c>
      <c r="F38" s="2942">
        <v>7710</v>
      </c>
      <c r="G38" s="2955">
        <v>17240</v>
      </c>
      <c r="M38" s="2942" t="s">
        <v>3004</v>
      </c>
      <c r="N38" s="2942" t="s">
        <v>3005</v>
      </c>
      <c r="O38" s="2942" t="s">
        <v>3006</v>
      </c>
      <c r="P38" s="2942" t="s">
        <v>3007</v>
      </c>
      <c r="Q38" s="2942" t="s">
        <v>3008</v>
      </c>
    </row>
    <row r="39" spans="1:17" ht="14.25" customHeight="1">
      <c r="A39" s="2942" t="s">
        <v>296</v>
      </c>
      <c r="B39" s="2943" t="s">
        <v>195</v>
      </c>
      <c r="C39" s="2942">
        <v>22330</v>
      </c>
      <c r="D39" s="2942">
        <v>21140</v>
      </c>
      <c r="E39" s="2942">
        <v>23970</v>
      </c>
      <c r="F39" s="2942">
        <v>7940</v>
      </c>
      <c r="G39" s="2955">
        <v>14790</v>
      </c>
      <c r="M39" s="2942" t="s">
        <v>3009</v>
      </c>
      <c r="N39" s="2942" t="s">
        <v>3010</v>
      </c>
      <c r="O39" s="2942" t="s">
        <v>3011</v>
      </c>
      <c r="P39" s="2942" t="s">
        <v>3012</v>
      </c>
      <c r="Q39" s="2942" t="s">
        <v>3013</v>
      </c>
    </row>
    <row r="40" spans="1:17" ht="14.25" customHeight="1">
      <c r="A40" s="2942" t="s">
        <v>296</v>
      </c>
      <c r="B40" s="2943" t="s">
        <v>202</v>
      </c>
      <c r="C40" s="2942">
        <v>24740</v>
      </c>
      <c r="D40" s="2942">
        <v>24690</v>
      </c>
      <c r="E40" s="2942">
        <v>22610</v>
      </c>
      <c r="F40" s="2942"/>
      <c r="G40" s="2955">
        <v>17280</v>
      </c>
      <c r="M40" s="2942" t="s">
        <v>3014</v>
      </c>
      <c r="N40" s="2942" t="s">
        <v>3015</v>
      </c>
      <c r="O40" s="2942" t="s">
        <v>3016</v>
      </c>
      <c r="P40" s="2942" t="s">
        <v>3017</v>
      </c>
      <c r="Q40" s="2942" t="s">
        <v>3018</v>
      </c>
    </row>
    <row r="41" spans="1:17" ht="14.25" customHeight="1" thickBot="1">
      <c r="A41" s="2942" t="s">
        <v>296</v>
      </c>
      <c r="B41" s="2943" t="s">
        <v>209</v>
      </c>
      <c r="C41" s="2942">
        <v>21220</v>
      </c>
      <c r="D41" s="2942">
        <v>21120</v>
      </c>
      <c r="E41" s="2942">
        <v>22590</v>
      </c>
      <c r="F41" s="2942"/>
      <c r="G41" s="2955">
        <v>14780</v>
      </c>
      <c r="M41" s="2949" t="s">
        <v>3019</v>
      </c>
      <c r="N41" s="2942" t="s">
        <v>3020</v>
      </c>
      <c r="O41" s="2942" t="s">
        <v>3021</v>
      </c>
      <c r="P41" s="2942" t="s">
        <v>3022</v>
      </c>
      <c r="Q41" s="2942" t="s">
        <v>3023</v>
      </c>
    </row>
    <row r="42" spans="1:17" ht="14.25" customHeight="1">
      <c r="A42" s="2942" t="s">
        <v>296</v>
      </c>
      <c r="B42" s="2943" t="s">
        <v>215</v>
      </c>
      <c r="C42" s="2942">
        <v>24800</v>
      </c>
      <c r="D42" s="2942">
        <v>22280</v>
      </c>
      <c r="E42" s="2942">
        <v>24350</v>
      </c>
      <c r="F42" s="2942"/>
      <c r="G42" s="2955">
        <v>15590</v>
      </c>
      <c r="N42" s="2942" t="s">
        <v>3024</v>
      </c>
      <c r="O42" s="2942" t="s">
        <v>3025</v>
      </c>
      <c r="P42" s="2942" t="s">
        <v>3026</v>
      </c>
      <c r="Q42" s="2942" t="s">
        <v>3027</v>
      </c>
    </row>
    <row r="43" spans="1:17" ht="14.25" customHeight="1">
      <c r="A43" s="2942" t="s">
        <v>3028</v>
      </c>
      <c r="B43" s="2943" t="s">
        <v>223</v>
      </c>
      <c r="C43" s="2942">
        <v>21210</v>
      </c>
      <c r="D43" s="2942">
        <v>21160</v>
      </c>
      <c r="E43" s="2942">
        <v>22650</v>
      </c>
      <c r="F43" s="2942"/>
      <c r="G43" s="2955">
        <v>14800</v>
      </c>
      <c r="N43" s="2942" t="s">
        <v>3029</v>
      </c>
      <c r="O43" s="2942" t="s">
        <v>3030</v>
      </c>
      <c r="P43" s="2942" t="s">
        <v>3031</v>
      </c>
      <c r="Q43" s="2942" t="s">
        <v>3032</v>
      </c>
    </row>
    <row r="44" spans="1:17" ht="14.25" customHeight="1" thickBot="1">
      <c r="A44" s="2942" t="s">
        <v>296</v>
      </c>
      <c r="B44" s="2943" t="s">
        <v>231</v>
      </c>
      <c r="C44" s="2942">
        <v>22370</v>
      </c>
      <c r="D44" s="2942">
        <v>23140</v>
      </c>
      <c r="E44" s="2942">
        <v>25090</v>
      </c>
      <c r="F44" s="2942"/>
      <c r="G44" s="2955">
        <v>16190</v>
      </c>
      <c r="N44" s="2942" t="s">
        <v>3033</v>
      </c>
      <c r="O44" s="2942" t="s">
        <v>3034</v>
      </c>
      <c r="P44" s="2949" t="s">
        <v>3035</v>
      </c>
      <c r="Q44" s="2942" t="s">
        <v>3036</v>
      </c>
    </row>
    <row r="45" spans="1:17" ht="14.25" customHeight="1" thickBot="1">
      <c r="A45" s="2942" t="s">
        <v>296</v>
      </c>
      <c r="B45" s="2943" t="s">
        <v>236</v>
      </c>
      <c r="C45" s="2942">
        <v>21240</v>
      </c>
      <c r="D45" s="2942">
        <v>27050</v>
      </c>
      <c r="E45" s="2942">
        <v>28000</v>
      </c>
      <c r="F45" s="2942"/>
      <c r="G45" s="2955">
        <v>18940</v>
      </c>
      <c r="N45" s="2942" t="s">
        <v>3037</v>
      </c>
      <c r="O45" s="2949" t="s">
        <v>3038</v>
      </c>
      <c r="Q45" s="2942" t="s">
        <v>3039</v>
      </c>
    </row>
    <row r="46" spans="1:17" ht="14.25" customHeight="1">
      <c r="A46" s="2942" t="s">
        <v>296</v>
      </c>
      <c r="B46" s="2943" t="s">
        <v>245</v>
      </c>
      <c r="C46" s="2942">
        <v>23240</v>
      </c>
      <c r="D46" s="2942">
        <v>23000</v>
      </c>
      <c r="E46" s="2942">
        <v>24980</v>
      </c>
      <c r="F46" s="2942"/>
      <c r="G46" s="2955">
        <v>16100</v>
      </c>
      <c r="N46" s="2942" t="s">
        <v>3040</v>
      </c>
      <c r="Q46" s="2942" t="s">
        <v>3041</v>
      </c>
    </row>
    <row r="47" spans="1:17" ht="14.25" customHeight="1">
      <c r="A47" s="2942" t="s">
        <v>296</v>
      </c>
      <c r="B47" s="2943" t="s">
        <v>252</v>
      </c>
      <c r="C47" s="2942">
        <v>27150</v>
      </c>
      <c r="D47" s="2942">
        <v>23310</v>
      </c>
      <c r="E47" s="2942">
        <v>25150</v>
      </c>
      <c r="F47" s="2942"/>
      <c r="G47" s="2955">
        <v>16310</v>
      </c>
      <c r="N47" s="2942" t="s">
        <v>3042</v>
      </c>
      <c r="Q47" s="2942" t="s">
        <v>3043</v>
      </c>
    </row>
    <row r="48" spans="1:17" ht="14.25" customHeight="1">
      <c r="A48" s="2942" t="s">
        <v>296</v>
      </c>
      <c r="B48" s="2943" t="s">
        <v>260</v>
      </c>
      <c r="C48" s="2942">
        <v>23100</v>
      </c>
      <c r="D48" s="2942">
        <v>21110</v>
      </c>
      <c r="E48" s="2942">
        <v>23080</v>
      </c>
      <c r="F48" s="2942"/>
      <c r="G48" s="2955">
        <v>14780</v>
      </c>
      <c r="N48" s="2942" t="s">
        <v>3044</v>
      </c>
      <c r="Q48" s="2942" t="s">
        <v>3045</v>
      </c>
    </row>
    <row r="49" spans="1:17" ht="14.25" customHeight="1">
      <c r="A49" s="2942" t="s">
        <v>296</v>
      </c>
      <c r="B49" s="2943" t="s">
        <v>267</v>
      </c>
      <c r="C49" s="2942">
        <v>23400</v>
      </c>
      <c r="D49" s="2942">
        <v>22920</v>
      </c>
      <c r="E49" s="2942">
        <v>24900</v>
      </c>
      <c r="F49" s="2942"/>
      <c r="G49" s="2955">
        <v>16040</v>
      </c>
      <c r="N49" s="2942" t="s">
        <v>3046</v>
      </c>
      <c r="Q49" s="2942" t="s">
        <v>3047</v>
      </c>
    </row>
    <row r="50" spans="1:17" ht="14.25" customHeight="1">
      <c r="A50" s="2942" t="s">
        <v>296</v>
      </c>
      <c r="B50" s="2943" t="s">
        <v>2924</v>
      </c>
      <c r="C50" s="2942">
        <v>21200</v>
      </c>
      <c r="D50" s="2942">
        <v>26540</v>
      </c>
      <c r="E50" s="2942">
        <v>23200</v>
      </c>
      <c r="F50" s="2942"/>
      <c r="G50" s="2955">
        <v>18580</v>
      </c>
      <c r="N50" s="2942" t="s">
        <v>3048</v>
      </c>
      <c r="Q50" s="2943" t="s">
        <v>3049</v>
      </c>
    </row>
    <row r="51" spans="1:17" ht="14.25" customHeight="1" thickBot="1">
      <c r="A51" s="2942" t="s">
        <v>296</v>
      </c>
      <c r="B51" s="2943" t="s">
        <v>2926</v>
      </c>
      <c r="C51" s="2942">
        <v>23000</v>
      </c>
      <c r="D51" s="2942">
        <v>23460</v>
      </c>
      <c r="E51" s="2942">
        <v>25290</v>
      </c>
      <c r="F51" s="2942"/>
      <c r="G51" s="2955">
        <v>16420</v>
      </c>
      <c r="N51" s="2942" t="s">
        <v>3050</v>
      </c>
      <c r="Q51" s="2949" t="s">
        <v>3051</v>
      </c>
    </row>
    <row r="52" spans="1:17" ht="14.25" customHeight="1">
      <c r="A52" s="2942" t="s">
        <v>296</v>
      </c>
      <c r="B52" s="2943" t="s">
        <v>2930</v>
      </c>
      <c r="C52" s="2942">
        <v>26660</v>
      </c>
      <c r="D52" s="2942">
        <v>22350</v>
      </c>
      <c r="E52" s="2942">
        <v>22920</v>
      </c>
      <c r="F52" s="2942"/>
      <c r="G52" s="2955">
        <v>15640</v>
      </c>
      <c r="N52" s="2942" t="s">
        <v>3052</v>
      </c>
    </row>
    <row r="53" spans="1:17" ht="14.25" customHeight="1">
      <c r="A53" s="2942" t="s">
        <v>296</v>
      </c>
      <c r="B53" s="2943" t="s">
        <v>2935</v>
      </c>
      <c r="C53" s="2942">
        <v>23580</v>
      </c>
      <c r="D53" s="2942"/>
      <c r="E53" s="2942">
        <v>24280</v>
      </c>
      <c r="F53" s="2942"/>
      <c r="G53" s="2955"/>
      <c r="N53" s="2942" t="s">
        <v>3053</v>
      </c>
    </row>
    <row r="54" spans="1:17" ht="14.25" customHeight="1" thickBot="1">
      <c r="A54" s="2956" t="s">
        <v>296</v>
      </c>
      <c r="B54" s="2948" t="s">
        <v>2938</v>
      </c>
      <c r="C54" s="2949">
        <v>22460</v>
      </c>
      <c r="D54" s="2949"/>
      <c r="E54" s="2949"/>
      <c r="F54" s="2949"/>
      <c r="G54" s="2957"/>
      <c r="N54" s="2942" t="s">
        <v>3054</v>
      </c>
    </row>
    <row r="55" spans="1:17" ht="14.25" customHeight="1">
      <c r="A55" s="2947" t="s">
        <v>110</v>
      </c>
      <c r="B55" s="2938" t="s">
        <v>3055</v>
      </c>
      <c r="C55" s="2942">
        <v>21970</v>
      </c>
      <c r="D55" s="2942">
        <v>20370</v>
      </c>
      <c r="E55" s="2942">
        <v>20180</v>
      </c>
      <c r="F55" s="2942">
        <v>5730</v>
      </c>
      <c r="G55" s="2942">
        <v>13820</v>
      </c>
      <c r="N55" s="2942" t="s">
        <v>3056</v>
      </c>
    </row>
    <row r="56" spans="1:17" ht="14.25" customHeight="1">
      <c r="A56" s="2942" t="s">
        <v>110</v>
      </c>
      <c r="B56" s="2942" t="s">
        <v>130</v>
      </c>
      <c r="C56" s="2942">
        <v>20470</v>
      </c>
      <c r="D56" s="2942">
        <v>20700</v>
      </c>
      <c r="E56" s="2942">
        <v>20380</v>
      </c>
      <c r="F56" s="2942">
        <v>4760</v>
      </c>
      <c r="G56" s="2942">
        <v>14050</v>
      </c>
      <c r="N56" s="2942" t="s">
        <v>3057</v>
      </c>
    </row>
    <row r="57" spans="1:17" ht="14.25" customHeight="1">
      <c r="A57" s="2942" t="s">
        <v>110</v>
      </c>
      <c r="B57" s="2942" t="s">
        <v>139</v>
      </c>
      <c r="C57" s="2942">
        <v>20790</v>
      </c>
      <c r="D57" s="2942">
        <v>21370</v>
      </c>
      <c r="E57" s="2942">
        <v>20890</v>
      </c>
      <c r="F57" s="2942">
        <v>4910</v>
      </c>
      <c r="G57" s="2942">
        <v>14510</v>
      </c>
      <c r="N57" s="2942" t="s">
        <v>3058</v>
      </c>
    </row>
    <row r="58" spans="1:17" ht="14.25" customHeight="1">
      <c r="A58" s="2942" t="s">
        <v>110</v>
      </c>
      <c r="B58" s="2942" t="s">
        <v>148</v>
      </c>
      <c r="C58" s="2942">
        <v>21460</v>
      </c>
      <c r="D58" s="2942">
        <v>20920</v>
      </c>
      <c r="E58" s="2942">
        <v>23410</v>
      </c>
      <c r="F58" s="2942">
        <v>5100</v>
      </c>
      <c r="G58" s="2942">
        <v>14200</v>
      </c>
      <c r="N58" s="2942" t="s">
        <v>3059</v>
      </c>
    </row>
    <row r="59" spans="1:17" ht="14.25" customHeight="1">
      <c r="A59" s="2942" t="s">
        <v>110</v>
      </c>
      <c r="B59" s="2942" t="s">
        <v>157</v>
      </c>
      <c r="C59" s="2942">
        <v>21000</v>
      </c>
      <c r="D59" s="2942">
        <v>21550</v>
      </c>
      <c r="E59" s="2942">
        <v>21150</v>
      </c>
      <c r="F59" s="2942">
        <v>5250</v>
      </c>
      <c r="G59" s="2942">
        <v>14630</v>
      </c>
      <c r="N59" s="2942" t="s">
        <v>3060</v>
      </c>
    </row>
    <row r="60" spans="1:17" ht="14.25" customHeight="1">
      <c r="A60" s="2942" t="s">
        <v>110</v>
      </c>
      <c r="B60" s="2942" t="s">
        <v>164</v>
      </c>
      <c r="C60" s="2942">
        <v>21640</v>
      </c>
      <c r="D60" s="2942">
        <v>21260</v>
      </c>
      <c r="E60" s="2942">
        <v>24040</v>
      </c>
      <c r="F60" s="2942">
        <v>4470</v>
      </c>
      <c r="G60" s="2942">
        <v>14430</v>
      </c>
      <c r="N60" s="2942" t="s">
        <v>3061</v>
      </c>
    </row>
    <row r="61" spans="1:17" ht="14.25" customHeight="1">
      <c r="A61" s="2942" t="s">
        <v>110</v>
      </c>
      <c r="B61" s="2942" t="s">
        <v>170</v>
      </c>
      <c r="C61" s="2942">
        <v>21330</v>
      </c>
      <c r="D61" s="2942">
        <v>18640</v>
      </c>
      <c r="E61" s="2942">
        <v>21190</v>
      </c>
      <c r="F61" s="2942">
        <v>4180</v>
      </c>
      <c r="G61" s="2942">
        <v>12650</v>
      </c>
      <c r="N61" s="2942" t="s">
        <v>3062</v>
      </c>
    </row>
    <row r="62" spans="1:17" ht="14.25" customHeight="1">
      <c r="A62" s="2942" t="s">
        <v>110</v>
      </c>
      <c r="B62" s="2942" t="s">
        <v>177</v>
      </c>
      <c r="C62" s="2942">
        <v>18710</v>
      </c>
      <c r="D62" s="2942">
        <v>19400</v>
      </c>
      <c r="E62" s="2942">
        <v>23750</v>
      </c>
      <c r="F62" s="2942">
        <v>4860</v>
      </c>
      <c r="G62" s="2942">
        <v>13170</v>
      </c>
      <c r="N62" s="2942" t="s">
        <v>3063</v>
      </c>
    </row>
    <row r="63" spans="1:17" ht="14.25" customHeight="1">
      <c r="A63" s="2942" t="s">
        <v>110</v>
      </c>
      <c r="B63" s="2942" t="s">
        <v>187</v>
      </c>
      <c r="C63" s="2942">
        <v>19480</v>
      </c>
      <c r="D63" s="2942">
        <v>16830</v>
      </c>
      <c r="E63" s="2942">
        <v>21590</v>
      </c>
      <c r="F63" s="2942">
        <v>4560</v>
      </c>
      <c r="G63" s="2942">
        <v>11420</v>
      </c>
      <c r="N63" s="2942" t="s">
        <v>3064</v>
      </c>
    </row>
    <row r="64" spans="1:17" ht="14.25" customHeight="1" thickBot="1">
      <c r="A64" s="2942" t="s">
        <v>110</v>
      </c>
      <c r="B64" s="2942" t="s">
        <v>196</v>
      </c>
      <c r="C64" s="2942">
        <v>16920</v>
      </c>
      <c r="D64" s="2942">
        <v>19190</v>
      </c>
      <c r="E64" s="2942">
        <v>22200</v>
      </c>
      <c r="F64" s="2942">
        <v>4390</v>
      </c>
      <c r="G64" s="2942">
        <v>13030</v>
      </c>
      <c r="N64" s="2949" t="s">
        <v>3065</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2936</v>
      </c>
      <c r="C78" s="2942">
        <v>19820</v>
      </c>
      <c r="D78" s="2942">
        <v>19780</v>
      </c>
      <c r="E78" s="2942">
        <v>18560</v>
      </c>
      <c r="F78" s="2942"/>
      <c r="G78" s="2942">
        <v>13430</v>
      </c>
    </row>
    <row r="79" spans="1:7" s="2776" customFormat="1" ht="14.25" customHeight="1">
      <c r="A79" s="2942" t="s">
        <v>110</v>
      </c>
      <c r="B79" s="2942" t="s">
        <v>2939</v>
      </c>
      <c r="C79" s="2942">
        <v>21660</v>
      </c>
      <c r="D79" s="2942">
        <v>18000</v>
      </c>
      <c r="E79" s="2942">
        <v>22570</v>
      </c>
      <c r="F79" s="2942"/>
      <c r="G79" s="2942">
        <v>12220</v>
      </c>
    </row>
    <row r="80" spans="1:7" s="2776" customFormat="1" ht="14.25" customHeight="1">
      <c r="A80" s="2942" t="s">
        <v>110</v>
      </c>
      <c r="B80" s="2942" t="s">
        <v>2943</v>
      </c>
      <c r="C80" s="2942">
        <v>19850</v>
      </c>
      <c r="D80" s="2942"/>
      <c r="E80" s="2942">
        <v>21700</v>
      </c>
      <c r="F80" s="2942"/>
      <c r="G80" s="2942"/>
    </row>
    <row r="81" spans="1:7" s="2776" customFormat="1" ht="14.25" customHeight="1">
      <c r="A81" s="2942" t="s">
        <v>110</v>
      </c>
      <c r="B81" s="2942" t="s">
        <v>2948</v>
      </c>
      <c r="C81" s="2942">
        <v>18080</v>
      </c>
      <c r="D81" s="2942"/>
      <c r="E81" s="2942">
        <v>20900</v>
      </c>
      <c r="F81" s="2942"/>
      <c r="G81" s="2942"/>
    </row>
    <row r="82" spans="1:7" s="2776" customFormat="1" ht="14.25" customHeight="1">
      <c r="A82" s="2942" t="s">
        <v>110</v>
      </c>
      <c r="B82" s="2942" t="s">
        <v>2955</v>
      </c>
      <c r="C82" s="2942"/>
      <c r="D82" s="2942"/>
      <c r="E82" s="2942">
        <v>20840</v>
      </c>
      <c r="F82" s="2942"/>
      <c r="G82" s="2942"/>
    </row>
    <row r="83" spans="1:7" s="2776" customFormat="1" ht="14.25" customHeight="1">
      <c r="A83" s="2942" t="s">
        <v>110</v>
      </c>
      <c r="B83" s="2942" t="s">
        <v>3066</v>
      </c>
      <c r="C83" s="2942"/>
      <c r="D83" s="2942"/>
      <c r="E83" s="2942"/>
      <c r="F83" s="2942">
        <v>4770</v>
      </c>
      <c r="G83" s="2942"/>
    </row>
    <row r="84" spans="1:7" s="2776" customFormat="1" ht="14.25" customHeight="1">
      <c r="A84" s="2942" t="s">
        <v>110</v>
      </c>
      <c r="B84" s="2942" t="s">
        <v>3067</v>
      </c>
      <c r="C84" s="2942"/>
      <c r="D84" s="2942"/>
      <c r="E84" s="2942"/>
      <c r="F84" s="2942">
        <v>4600</v>
      </c>
      <c r="G84" s="2942"/>
    </row>
    <row r="85" spans="1:7" s="2776" customFormat="1" ht="14.25" customHeight="1">
      <c r="A85" s="2942" t="s">
        <v>110</v>
      </c>
      <c r="B85" s="2942" t="s">
        <v>3068</v>
      </c>
      <c r="C85" s="2942"/>
      <c r="D85" s="2942"/>
      <c r="E85" s="2942"/>
      <c r="F85" s="2942">
        <v>4680</v>
      </c>
      <c r="G85" s="2942"/>
    </row>
    <row r="86" spans="1:7" s="2776" customFormat="1" ht="14.25" customHeight="1" thickBot="1">
      <c r="A86" s="2950" t="s">
        <v>110</v>
      </c>
      <c r="B86" s="2952" t="s">
        <v>3069</v>
      </c>
      <c r="C86" s="2953">
        <v>16610</v>
      </c>
      <c r="D86" s="2953">
        <v>16540</v>
      </c>
      <c r="E86" s="2953">
        <v>18850</v>
      </c>
      <c r="F86" s="2953"/>
      <c r="G86" s="2953">
        <v>11220</v>
      </c>
    </row>
    <row r="87" spans="1:7" s="2776" customFormat="1" ht="14.25" customHeight="1">
      <c r="A87" s="2947" t="s">
        <v>303</v>
      </c>
      <c r="B87" s="2938" t="s">
        <v>3070</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2949</v>
      </c>
      <c r="C113" s="2942">
        <v>15520</v>
      </c>
      <c r="D113" s="2942">
        <v>15450</v>
      </c>
      <c r="E113" s="2942"/>
      <c r="F113" s="2942"/>
      <c r="G113" s="2955">
        <v>10210</v>
      </c>
    </row>
    <row r="114" spans="1:7" s="2776" customFormat="1" ht="14.25" customHeight="1">
      <c r="A114" s="2942" t="s">
        <v>303</v>
      </c>
      <c r="B114" s="2942" t="s">
        <v>2956</v>
      </c>
      <c r="C114" s="2942">
        <v>13110</v>
      </c>
      <c r="D114" s="2942">
        <v>13050</v>
      </c>
      <c r="E114" s="2942"/>
      <c r="F114" s="2942"/>
      <c r="G114" s="2955">
        <v>8620</v>
      </c>
    </row>
    <row r="115" spans="1:7" s="2776" customFormat="1" ht="14.25" customHeight="1">
      <c r="A115" s="2942" t="s">
        <v>303</v>
      </c>
      <c r="B115" s="2942" t="s">
        <v>2962</v>
      </c>
      <c r="C115" s="2942">
        <v>12460</v>
      </c>
      <c r="D115" s="2942">
        <v>12390</v>
      </c>
      <c r="E115" s="2942"/>
      <c r="F115" s="2942"/>
      <c r="G115" s="2955">
        <v>8190</v>
      </c>
    </row>
    <row r="116" spans="1:7" s="2776" customFormat="1" ht="14.25" customHeight="1">
      <c r="A116" s="2942" t="s">
        <v>303</v>
      </c>
      <c r="B116" s="2942" t="s">
        <v>2969</v>
      </c>
      <c r="C116" s="2942">
        <v>13580</v>
      </c>
      <c r="D116" s="2942">
        <v>13520</v>
      </c>
      <c r="E116" s="2942"/>
      <c r="F116" s="2942"/>
      <c r="G116" s="2955">
        <v>8930</v>
      </c>
    </row>
    <row r="117" spans="1:7" s="2776" customFormat="1" ht="14.25" customHeight="1">
      <c r="A117" s="2942" t="s">
        <v>303</v>
      </c>
      <c r="B117" s="2942" t="s">
        <v>2976</v>
      </c>
      <c r="C117" s="2942">
        <v>17120</v>
      </c>
      <c r="D117" s="2942">
        <v>17040</v>
      </c>
      <c r="E117" s="2942"/>
      <c r="F117" s="2942"/>
      <c r="G117" s="2955">
        <v>11260</v>
      </c>
    </row>
    <row r="118" spans="1:7" s="2776" customFormat="1" ht="14.25" customHeight="1">
      <c r="A118" s="2942" t="s">
        <v>303</v>
      </c>
      <c r="B118" s="2942" t="s">
        <v>2981</v>
      </c>
      <c r="C118" s="2942">
        <v>14860</v>
      </c>
      <c r="D118" s="2942">
        <v>14790</v>
      </c>
      <c r="E118" s="2942"/>
      <c r="F118" s="2942"/>
      <c r="G118" s="2955">
        <v>9780</v>
      </c>
    </row>
    <row r="119" spans="1:7" s="2776" customFormat="1" ht="14.25" customHeight="1">
      <c r="A119" s="2942" t="s">
        <v>303</v>
      </c>
      <c r="B119" s="2942" t="s">
        <v>2985</v>
      </c>
      <c r="C119" s="2942">
        <v>16470</v>
      </c>
      <c r="D119" s="2942">
        <v>16400</v>
      </c>
      <c r="E119" s="2942"/>
      <c r="F119" s="2942"/>
      <c r="G119" s="2955">
        <v>10840</v>
      </c>
    </row>
    <row r="120" spans="1:7" s="2776" customFormat="1" ht="14.25" customHeight="1">
      <c r="A120" s="2942" t="s">
        <v>303</v>
      </c>
      <c r="B120" s="2942" t="s">
        <v>3071</v>
      </c>
      <c r="C120" s="2942"/>
      <c r="D120" s="2942"/>
      <c r="E120" s="2942"/>
      <c r="F120" s="2942">
        <v>4160</v>
      </c>
      <c r="G120" s="2955"/>
    </row>
    <row r="121" spans="1:7" s="2776" customFormat="1" ht="14.25" customHeight="1">
      <c r="A121" s="2942" t="s">
        <v>303</v>
      </c>
      <c r="B121" s="2942" t="s">
        <v>3072</v>
      </c>
      <c r="C121" s="2942"/>
      <c r="D121" s="2942"/>
      <c r="E121" s="2942"/>
      <c r="F121" s="2942">
        <v>3880</v>
      </c>
      <c r="G121" s="2955"/>
    </row>
    <row r="122" spans="1:7" s="2776" customFormat="1" ht="14.25" customHeight="1">
      <c r="A122" s="2942" t="s">
        <v>303</v>
      </c>
      <c r="B122" s="2942" t="s">
        <v>3073</v>
      </c>
      <c r="C122" s="2942">
        <v>13750</v>
      </c>
      <c r="D122" s="2942">
        <v>13680</v>
      </c>
      <c r="E122" s="2942">
        <v>16460</v>
      </c>
      <c r="F122" s="2942">
        <v>2880</v>
      </c>
      <c r="G122" s="2955">
        <v>9040</v>
      </c>
    </row>
    <row r="123" spans="1:7" s="2776" customFormat="1" ht="14.25" customHeight="1">
      <c r="A123" s="2942" t="s">
        <v>303</v>
      </c>
      <c r="B123" s="2942" t="s">
        <v>3004</v>
      </c>
      <c r="C123" s="2942">
        <v>13590</v>
      </c>
      <c r="D123" s="2942">
        <v>13520</v>
      </c>
      <c r="E123" s="2942">
        <v>16290</v>
      </c>
      <c r="F123" s="2942">
        <v>2790</v>
      </c>
      <c r="G123" s="2955">
        <v>8930</v>
      </c>
    </row>
    <row r="124" spans="1:7" s="2776" customFormat="1" ht="14.25" customHeight="1">
      <c r="A124" s="2942" t="s">
        <v>303</v>
      </c>
      <c r="B124" s="2942" t="s">
        <v>3009</v>
      </c>
      <c r="C124" s="2942">
        <v>13400</v>
      </c>
      <c r="D124" s="2942">
        <v>13320</v>
      </c>
      <c r="E124" s="2942">
        <v>16100</v>
      </c>
      <c r="F124" s="2942">
        <v>2320</v>
      </c>
      <c r="G124" s="2955">
        <v>8800</v>
      </c>
    </row>
    <row r="125" spans="1:7" s="2776" customFormat="1" ht="14.25" customHeight="1">
      <c r="A125" s="2942" t="s">
        <v>303</v>
      </c>
      <c r="B125" s="2942" t="s">
        <v>3014</v>
      </c>
      <c r="C125" s="2942">
        <v>12860</v>
      </c>
      <c r="D125" s="2942">
        <v>12790</v>
      </c>
      <c r="E125" s="2942">
        <v>15370</v>
      </c>
      <c r="F125" s="2942">
        <v>2280</v>
      </c>
      <c r="G125" s="2955">
        <v>8450</v>
      </c>
    </row>
    <row r="126" spans="1:7" s="2776" customFormat="1" ht="14.25" customHeight="1" thickBot="1">
      <c r="A126" s="2956" t="s">
        <v>303</v>
      </c>
      <c r="B126" s="2949" t="s">
        <v>3019</v>
      </c>
      <c r="C126" s="2949">
        <v>12960</v>
      </c>
      <c r="D126" s="2949">
        <v>12890</v>
      </c>
      <c r="E126" s="2949">
        <v>15530</v>
      </c>
      <c r="F126" s="2949">
        <v>2910</v>
      </c>
      <c r="G126" s="2957">
        <v>8520</v>
      </c>
    </row>
    <row r="127" spans="1:7" s="2776" customFormat="1" ht="14.25" customHeight="1">
      <c r="A127" s="2947" t="s">
        <v>29</v>
      </c>
      <c r="B127" s="2938" t="s">
        <v>3074</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3075</v>
      </c>
      <c r="C148" s="2942">
        <v>10370</v>
      </c>
      <c r="D148" s="2942">
        <v>10310</v>
      </c>
      <c r="E148" s="2942">
        <v>12970</v>
      </c>
      <c r="F148" s="2942"/>
      <c r="G148" s="2942">
        <v>6630</v>
      </c>
    </row>
    <row r="149" spans="1:7" s="2776" customFormat="1" ht="14.25" customHeight="1">
      <c r="A149" s="2942" t="s">
        <v>29</v>
      </c>
      <c r="B149" s="2942" t="s">
        <v>3076</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2950</v>
      </c>
      <c r="C153" s="2942">
        <v>10880</v>
      </c>
      <c r="D153" s="2942">
        <v>10820</v>
      </c>
      <c r="E153" s="2942">
        <v>13660</v>
      </c>
      <c r="F153" s="2942">
        <v>2260</v>
      </c>
      <c r="G153" s="2942">
        <v>6970</v>
      </c>
    </row>
    <row r="154" spans="1:7" s="2776" customFormat="1" ht="14.25" customHeight="1">
      <c r="A154" s="2942" t="s">
        <v>29</v>
      </c>
      <c r="B154" s="2942" t="s">
        <v>3077</v>
      </c>
      <c r="C154" s="2942">
        <v>11220</v>
      </c>
      <c r="D154" s="2942">
        <v>11160</v>
      </c>
      <c r="E154" s="2942">
        <v>14130</v>
      </c>
      <c r="F154" s="2942">
        <v>2230</v>
      </c>
      <c r="G154" s="2942">
        <v>7180</v>
      </c>
    </row>
    <row r="155" spans="1:7" s="2776" customFormat="1" ht="14.25" customHeight="1">
      <c r="A155" s="2942" t="s">
        <v>29</v>
      </c>
      <c r="B155" s="2942" t="s">
        <v>2963</v>
      </c>
      <c r="C155" s="2942">
        <v>10430</v>
      </c>
      <c r="D155" s="2942">
        <v>10380</v>
      </c>
      <c r="E155" s="2942">
        <v>13140</v>
      </c>
      <c r="F155" s="2942">
        <v>2080</v>
      </c>
      <c r="G155" s="2942">
        <v>6650</v>
      </c>
    </row>
    <row r="156" spans="1:7" s="2776" customFormat="1" ht="14.25" customHeight="1">
      <c r="A156" s="2942" t="s">
        <v>29</v>
      </c>
      <c r="B156" s="2942" t="s">
        <v>3078</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3079</v>
      </c>
      <c r="C160" s="2942">
        <v>11180</v>
      </c>
      <c r="D160" s="2942">
        <v>11140</v>
      </c>
      <c r="E160" s="2942">
        <v>14050</v>
      </c>
      <c r="F160" s="2942">
        <v>2270</v>
      </c>
      <c r="G160" s="2942">
        <v>7170</v>
      </c>
    </row>
    <row r="161" spans="1:7" s="2776" customFormat="1" ht="14.25" customHeight="1">
      <c r="A161" s="2942" t="s">
        <v>29</v>
      </c>
      <c r="B161" s="2942" t="s">
        <v>2995</v>
      </c>
      <c r="C161" s="2942">
        <v>11160</v>
      </c>
      <c r="D161" s="2942">
        <v>11120</v>
      </c>
      <c r="E161" s="2942">
        <v>14020</v>
      </c>
      <c r="F161" s="2942">
        <v>2150</v>
      </c>
      <c r="G161" s="2942">
        <v>7160</v>
      </c>
    </row>
    <row r="162" spans="1:7" s="2776" customFormat="1" ht="14.25" customHeight="1">
      <c r="A162" s="2942" t="s">
        <v>29</v>
      </c>
      <c r="B162" s="2942" t="s">
        <v>3000</v>
      </c>
      <c r="C162" s="2942">
        <v>9620</v>
      </c>
      <c r="D162" s="2942">
        <v>9570</v>
      </c>
      <c r="E162" s="2942">
        <v>12320</v>
      </c>
      <c r="F162" s="2942">
        <v>2010</v>
      </c>
      <c r="G162" s="2942">
        <v>6160</v>
      </c>
    </row>
    <row r="163" spans="1:7" s="2776" customFormat="1" ht="14.25" customHeight="1">
      <c r="A163" s="2942" t="s">
        <v>29</v>
      </c>
      <c r="B163" s="2942" t="s">
        <v>3005</v>
      </c>
      <c r="C163" s="2942">
        <v>9320</v>
      </c>
      <c r="D163" s="2942">
        <v>9270</v>
      </c>
      <c r="E163" s="2942">
        <v>11790</v>
      </c>
      <c r="F163" s="2942">
        <v>1920</v>
      </c>
      <c r="G163" s="2942">
        <v>5960</v>
      </c>
    </row>
    <row r="164" spans="1:7" s="2776" customFormat="1" ht="14.25" customHeight="1">
      <c r="A164" s="2942" t="s">
        <v>29</v>
      </c>
      <c r="B164" s="2942" t="s">
        <v>3010</v>
      </c>
      <c r="C164" s="2942"/>
      <c r="D164" s="2942"/>
      <c r="E164" s="2942"/>
      <c r="F164" s="2942">
        <v>1980</v>
      </c>
      <c r="G164" s="2942"/>
    </row>
    <row r="165" spans="1:7" s="2776" customFormat="1" ht="14.25" customHeight="1">
      <c r="A165" s="2942" t="s">
        <v>29</v>
      </c>
      <c r="B165" s="2942" t="s">
        <v>3080</v>
      </c>
      <c r="C165" s="2942">
        <v>11060</v>
      </c>
      <c r="D165" s="2942">
        <v>11030</v>
      </c>
      <c r="E165" s="2942">
        <v>13850</v>
      </c>
      <c r="F165" s="2942">
        <v>2170</v>
      </c>
      <c r="G165" s="2942">
        <v>7090</v>
      </c>
    </row>
    <row r="166" spans="1:7" s="2776" customFormat="1" ht="14.25" customHeight="1">
      <c r="A166" s="2942" t="s">
        <v>29</v>
      </c>
      <c r="B166" s="2942" t="s">
        <v>3020</v>
      </c>
      <c r="C166" s="2942">
        <v>11050</v>
      </c>
      <c r="D166" s="2942">
        <v>11010</v>
      </c>
      <c r="E166" s="2942">
        <v>13920</v>
      </c>
      <c r="F166" s="2942">
        <v>2140</v>
      </c>
      <c r="G166" s="2942">
        <v>7080</v>
      </c>
    </row>
    <row r="167" spans="1:7" s="2776" customFormat="1" ht="14.25" customHeight="1">
      <c r="A167" s="2942" t="s">
        <v>29</v>
      </c>
      <c r="B167" s="2942" t="s">
        <v>3024</v>
      </c>
      <c r="C167" s="2942">
        <v>10930</v>
      </c>
      <c r="D167" s="2942">
        <v>10890</v>
      </c>
      <c r="E167" s="2942">
        <v>13790</v>
      </c>
      <c r="F167" s="2942">
        <v>2010</v>
      </c>
      <c r="G167" s="2942">
        <v>7000</v>
      </c>
    </row>
    <row r="168" spans="1:7" s="2776" customFormat="1" ht="14.25" customHeight="1">
      <c r="A168" s="2942" t="s">
        <v>29</v>
      </c>
      <c r="B168" s="2942" t="s">
        <v>3029</v>
      </c>
      <c r="C168" s="2942">
        <v>9420</v>
      </c>
      <c r="D168" s="2942">
        <v>9380</v>
      </c>
      <c r="E168" s="2942">
        <v>11970</v>
      </c>
      <c r="F168" s="2942"/>
      <c r="G168" s="2942">
        <v>6040</v>
      </c>
    </row>
    <row r="169" spans="1:7" s="2776" customFormat="1" ht="14.25" customHeight="1">
      <c r="A169" s="2942" t="s">
        <v>29</v>
      </c>
      <c r="B169" s="2942" t="s">
        <v>3081</v>
      </c>
      <c r="C169" s="2942"/>
      <c r="D169" s="2942"/>
      <c r="E169" s="2942"/>
      <c r="F169" s="2942">
        <v>2880</v>
      </c>
      <c r="G169" s="2942"/>
    </row>
    <row r="170" spans="1:7" s="2776" customFormat="1" ht="14.25" customHeight="1">
      <c r="A170" s="2942" t="s">
        <v>29</v>
      </c>
      <c r="B170" s="2942" t="s">
        <v>3037</v>
      </c>
      <c r="C170" s="2942"/>
      <c r="D170" s="2942"/>
      <c r="E170" s="2942"/>
      <c r="F170" s="2942">
        <v>2880</v>
      </c>
      <c r="G170" s="2942"/>
    </row>
    <row r="171" spans="1:7" s="2776" customFormat="1" ht="14.25" customHeight="1">
      <c r="A171" s="2942" t="s">
        <v>29</v>
      </c>
      <c r="B171" s="2942" t="s">
        <v>3040</v>
      </c>
      <c r="C171" s="2942"/>
      <c r="D171" s="2942"/>
      <c r="E171" s="2942"/>
      <c r="F171" s="2942">
        <v>2880</v>
      </c>
      <c r="G171" s="2942"/>
    </row>
    <row r="172" spans="1:7" s="2776" customFormat="1" ht="14.25" customHeight="1">
      <c r="A172" s="2942" t="s">
        <v>29</v>
      </c>
      <c r="B172" s="2942" t="s">
        <v>3042</v>
      </c>
      <c r="C172" s="2942"/>
      <c r="D172" s="2942"/>
      <c r="E172" s="2942"/>
      <c r="F172" s="2942">
        <v>2880</v>
      </c>
      <c r="G172" s="2942"/>
    </row>
    <row r="173" spans="1:7" s="2776" customFormat="1" ht="14.25" customHeight="1">
      <c r="A173" s="2942" t="s">
        <v>29</v>
      </c>
      <c r="B173" s="2942" t="s">
        <v>3044</v>
      </c>
      <c r="C173" s="2942"/>
      <c r="D173" s="2942"/>
      <c r="E173" s="2942"/>
      <c r="F173" s="2942">
        <v>2150</v>
      </c>
      <c r="G173" s="2942"/>
    </row>
    <row r="174" spans="1:7" s="2776" customFormat="1" ht="14.25" customHeight="1">
      <c r="A174" s="2942" t="s">
        <v>29</v>
      </c>
      <c r="B174" s="2942" t="s">
        <v>3046</v>
      </c>
      <c r="C174" s="2942"/>
      <c r="D174" s="2942"/>
      <c r="E174" s="2942"/>
      <c r="F174" s="2942">
        <v>2030</v>
      </c>
      <c r="G174" s="2942"/>
    </row>
    <row r="175" spans="1:7" s="2776" customFormat="1" ht="14.25" customHeight="1">
      <c r="A175" s="2942" t="s">
        <v>29</v>
      </c>
      <c r="B175" s="2942" t="s">
        <v>3048</v>
      </c>
      <c r="C175" s="2942"/>
      <c r="D175" s="2942"/>
      <c r="E175" s="2942"/>
      <c r="F175" s="2942">
        <v>2780</v>
      </c>
      <c r="G175" s="2942"/>
    </row>
    <row r="176" spans="1:7" s="2776" customFormat="1" ht="14.25" customHeight="1">
      <c r="A176" s="2942" t="s">
        <v>29</v>
      </c>
      <c r="B176" s="2942" t="s">
        <v>3050</v>
      </c>
      <c r="C176" s="2942"/>
      <c r="D176" s="2942"/>
      <c r="E176" s="2942"/>
      <c r="F176" s="2942">
        <v>2780</v>
      </c>
      <c r="G176" s="2942"/>
    </row>
    <row r="177" spans="1:7" s="2776" customFormat="1" ht="14.25" customHeight="1">
      <c r="A177" s="2942" t="s">
        <v>29</v>
      </c>
      <c r="B177" s="2942" t="s">
        <v>3082</v>
      </c>
      <c r="C177" s="2942"/>
      <c r="D177" s="2942"/>
      <c r="E177" s="2942"/>
      <c r="F177" s="2942">
        <v>2780</v>
      </c>
      <c r="G177" s="2942"/>
    </row>
    <row r="178" spans="1:7" s="2776" customFormat="1" ht="14.25" customHeight="1">
      <c r="A178" s="2942" t="s">
        <v>29</v>
      </c>
      <c r="B178" s="2942" t="s">
        <v>3083</v>
      </c>
      <c r="C178" s="2942"/>
      <c r="D178" s="2942"/>
      <c r="E178" s="2942"/>
      <c r="F178" s="2942">
        <v>2060</v>
      </c>
      <c r="G178" s="2942"/>
    </row>
    <row r="179" spans="1:7" s="2776" customFormat="1" ht="14.25" customHeight="1">
      <c r="A179" s="2942" t="s">
        <v>29</v>
      </c>
      <c r="B179" s="2942" t="s">
        <v>3084</v>
      </c>
      <c r="C179" s="2942"/>
      <c r="D179" s="2942"/>
      <c r="E179" s="2942"/>
      <c r="F179" s="2942">
        <v>2120</v>
      </c>
      <c r="G179" s="2942"/>
    </row>
    <row r="180" spans="1:7" s="2776" customFormat="1" ht="14.25" customHeight="1">
      <c r="A180" s="2942" t="s">
        <v>29</v>
      </c>
      <c r="B180" s="2942" t="s">
        <v>3056</v>
      </c>
      <c r="C180" s="2942"/>
      <c r="D180" s="2942"/>
      <c r="E180" s="2942"/>
      <c r="F180" s="2942">
        <v>2340</v>
      </c>
      <c r="G180" s="2942"/>
    </row>
    <row r="181" spans="1:7" s="2776" customFormat="1" ht="14.25" customHeight="1">
      <c r="A181" s="2942" t="s">
        <v>29</v>
      </c>
      <c r="B181" s="2942" t="s">
        <v>3057</v>
      </c>
      <c r="C181" s="2942"/>
      <c r="D181" s="2942"/>
      <c r="E181" s="2942"/>
      <c r="F181" s="2942">
        <v>2340</v>
      </c>
      <c r="G181" s="2942"/>
    </row>
    <row r="182" spans="1:7" s="2776" customFormat="1" ht="14.25" customHeight="1">
      <c r="A182" s="2942" t="s">
        <v>29</v>
      </c>
      <c r="B182" s="2942" t="s">
        <v>3058</v>
      </c>
      <c r="C182" s="2942"/>
      <c r="D182" s="2942"/>
      <c r="E182" s="2942"/>
      <c r="F182" s="2942">
        <v>2340</v>
      </c>
      <c r="G182" s="2942"/>
    </row>
    <row r="183" spans="1:7" s="2776" customFormat="1" ht="14.25" customHeight="1">
      <c r="A183" s="2942" t="s">
        <v>29</v>
      </c>
      <c r="B183" s="2942" t="s">
        <v>3059</v>
      </c>
      <c r="C183" s="2942"/>
      <c r="D183" s="2942"/>
      <c r="E183" s="2942"/>
      <c r="F183" s="2942">
        <v>2340</v>
      </c>
      <c r="G183" s="2942"/>
    </row>
    <row r="184" spans="1:7" s="2776" customFormat="1" ht="14.25" customHeight="1">
      <c r="A184" s="2942" t="s">
        <v>29</v>
      </c>
      <c r="B184" s="2942" t="s">
        <v>3060</v>
      </c>
      <c r="C184" s="2942"/>
      <c r="D184" s="2942"/>
      <c r="E184" s="2942"/>
      <c r="F184" s="2942">
        <v>2340</v>
      </c>
      <c r="G184" s="2942"/>
    </row>
    <row r="185" spans="1:7" s="2776" customFormat="1" ht="14.25" customHeight="1">
      <c r="A185" s="2942" t="s">
        <v>29</v>
      </c>
      <c r="B185" s="2942" t="s">
        <v>3061</v>
      </c>
      <c r="C185" s="2942"/>
      <c r="D185" s="2942"/>
      <c r="E185" s="2942"/>
      <c r="F185" s="2942">
        <v>2530</v>
      </c>
      <c r="G185" s="2942"/>
    </row>
    <row r="186" spans="1:7" s="2776" customFormat="1" ht="14.25" customHeight="1">
      <c r="A186" s="2942" t="s">
        <v>29</v>
      </c>
      <c r="B186" s="2942" t="s">
        <v>3062</v>
      </c>
      <c r="C186" s="2942"/>
      <c r="D186" s="2942"/>
      <c r="E186" s="2942"/>
      <c r="F186" s="2942">
        <v>2550</v>
      </c>
      <c r="G186" s="2942"/>
    </row>
    <row r="187" spans="1:7" s="2776" customFormat="1" ht="14.25" customHeight="1">
      <c r="A187" s="2942" t="s">
        <v>29</v>
      </c>
      <c r="B187" s="2942" t="s">
        <v>3063</v>
      </c>
      <c r="C187" s="2942"/>
      <c r="D187" s="2942"/>
      <c r="E187" s="2942"/>
      <c r="F187" s="2942">
        <v>2070</v>
      </c>
      <c r="G187" s="2942"/>
    </row>
    <row r="188" spans="1:7" s="2776" customFormat="1" ht="14.25" customHeight="1">
      <c r="A188" s="2942" t="s">
        <v>29</v>
      </c>
      <c r="B188" s="2942" t="s">
        <v>3064</v>
      </c>
      <c r="C188" s="2942"/>
      <c r="D188" s="2942"/>
      <c r="E188" s="2942"/>
      <c r="F188" s="2942">
        <v>2340</v>
      </c>
      <c r="G188" s="2942"/>
    </row>
    <row r="189" spans="1:7" s="2776" customFormat="1" ht="14.25" customHeight="1" thickBot="1">
      <c r="A189" s="2950" t="s">
        <v>29</v>
      </c>
      <c r="B189" s="2953" t="s">
        <v>3065</v>
      </c>
      <c r="C189" s="2953"/>
      <c r="D189" s="2953"/>
      <c r="E189" s="2953"/>
      <c r="F189" s="2953">
        <v>2050</v>
      </c>
      <c r="G189" s="2953"/>
    </row>
    <row r="190" spans="1:7" s="2776" customFormat="1" ht="14.25" customHeight="1">
      <c r="A190" s="2947" t="s">
        <v>304</v>
      </c>
      <c r="B190" s="2938" t="s">
        <v>3085</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3086</v>
      </c>
      <c r="C199" s="2942">
        <v>8690</v>
      </c>
      <c r="D199" s="2942">
        <v>8630</v>
      </c>
      <c r="E199" s="2942">
        <v>11350</v>
      </c>
      <c r="F199" s="2942">
        <v>1600</v>
      </c>
      <c r="G199" s="2955">
        <v>5450</v>
      </c>
    </row>
    <row r="200" spans="1:7" s="2776" customFormat="1" ht="14.25" customHeight="1">
      <c r="A200" s="2942" t="s">
        <v>304</v>
      </c>
      <c r="B200" s="2942" t="s">
        <v>2897</v>
      </c>
      <c r="C200" s="2942"/>
      <c r="D200" s="2942"/>
      <c r="E200" s="2942"/>
      <c r="F200" s="2942">
        <v>1510</v>
      </c>
      <c r="G200" s="2955"/>
    </row>
    <row r="201" spans="1:7" s="2776" customFormat="1" ht="14.25" customHeight="1">
      <c r="A201" s="2942" t="s">
        <v>304</v>
      </c>
      <c r="B201" s="2942" t="s">
        <v>3087</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3088</v>
      </c>
      <c r="C203" s="2942">
        <v>8130</v>
      </c>
      <c r="D203" s="2942">
        <v>8070</v>
      </c>
      <c r="E203" s="2942">
        <v>10820</v>
      </c>
      <c r="F203" s="2942">
        <v>1690</v>
      </c>
      <c r="G203" s="2955">
        <v>5100</v>
      </c>
    </row>
    <row r="204" spans="1:7" s="2776" customFormat="1" ht="14.25" customHeight="1">
      <c r="A204" s="2942" t="s">
        <v>304</v>
      </c>
      <c r="B204" s="2942" t="s">
        <v>2908</v>
      </c>
      <c r="C204" s="2942">
        <v>8350</v>
      </c>
      <c r="D204" s="2942">
        <v>8290</v>
      </c>
      <c r="E204" s="2942">
        <v>11080</v>
      </c>
      <c r="F204" s="2942">
        <v>1450</v>
      </c>
      <c r="G204" s="2955">
        <v>5240</v>
      </c>
    </row>
    <row r="205" spans="1:7" s="2776" customFormat="1" ht="14.25" customHeight="1">
      <c r="A205" s="2942" t="s">
        <v>304</v>
      </c>
      <c r="B205" s="2942" t="s">
        <v>2910</v>
      </c>
      <c r="C205" s="2942">
        <v>7190</v>
      </c>
      <c r="D205" s="2942">
        <v>7130</v>
      </c>
      <c r="E205" s="2942">
        <v>9490</v>
      </c>
      <c r="F205" s="2942">
        <v>1470</v>
      </c>
      <c r="G205" s="2955">
        <v>4510</v>
      </c>
    </row>
    <row r="206" spans="1:7" s="2776" customFormat="1" ht="14.25" customHeight="1">
      <c r="A206" s="2942" t="s">
        <v>304</v>
      </c>
      <c r="B206" s="2942" t="s">
        <v>2913</v>
      </c>
      <c r="C206" s="2942">
        <v>7000</v>
      </c>
      <c r="D206" s="2942">
        <v>6950</v>
      </c>
      <c r="E206" s="2942">
        <v>9170</v>
      </c>
      <c r="F206" s="2942">
        <v>1400</v>
      </c>
      <c r="G206" s="2955">
        <v>4380</v>
      </c>
    </row>
    <row r="207" spans="1:7" s="2776" customFormat="1" ht="14.25" customHeight="1">
      <c r="A207" s="2942" t="s">
        <v>304</v>
      </c>
      <c r="B207" s="2942" t="s">
        <v>2915</v>
      </c>
      <c r="C207" s="2942">
        <v>6950</v>
      </c>
      <c r="D207" s="2942">
        <v>6900</v>
      </c>
      <c r="E207" s="2942">
        <v>9110</v>
      </c>
      <c r="F207" s="2942">
        <v>1790</v>
      </c>
      <c r="G207" s="2955">
        <v>4360</v>
      </c>
    </row>
    <row r="208" spans="1:7" s="2776" customFormat="1" ht="14.25" customHeight="1">
      <c r="A208" s="2942" t="s">
        <v>304</v>
      </c>
      <c r="B208" s="2942" t="s">
        <v>3089</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2925</v>
      </c>
      <c r="C210" s="2942">
        <v>8710</v>
      </c>
      <c r="D210" s="2942">
        <v>8660</v>
      </c>
      <c r="E210" s="2942">
        <v>11440</v>
      </c>
      <c r="F210" s="2942">
        <v>1740</v>
      </c>
      <c r="G210" s="2955">
        <v>5470</v>
      </c>
    </row>
    <row r="211" spans="1:7" s="2776" customFormat="1" ht="14.25" customHeight="1">
      <c r="A211" s="2942" t="s">
        <v>304</v>
      </c>
      <c r="B211" s="2942" t="s">
        <v>3090</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3091</v>
      </c>
      <c r="C214" s="2942">
        <v>8090</v>
      </c>
      <c r="D214" s="2942">
        <v>8030</v>
      </c>
      <c r="E214" s="2942">
        <v>10780</v>
      </c>
      <c r="F214" s="2942">
        <v>1570</v>
      </c>
      <c r="G214" s="2955">
        <v>5070</v>
      </c>
    </row>
    <row r="215" spans="1:7" s="2776" customFormat="1" ht="14.25" customHeight="1">
      <c r="A215" s="2942" t="s">
        <v>304</v>
      </c>
      <c r="B215" s="2942" t="s">
        <v>3092</v>
      </c>
      <c r="C215" s="2942">
        <v>7950</v>
      </c>
      <c r="D215" s="2942">
        <v>7900</v>
      </c>
      <c r="E215" s="2942">
        <v>10560</v>
      </c>
      <c r="F215" s="2942">
        <v>1630</v>
      </c>
      <c r="G215" s="2955">
        <v>4990</v>
      </c>
    </row>
    <row r="216" spans="1:7" s="2776" customFormat="1" ht="14.25" customHeight="1">
      <c r="A216" s="2942" t="s">
        <v>304</v>
      </c>
      <c r="B216" s="2942" t="s">
        <v>3093</v>
      </c>
      <c r="C216" s="2942">
        <v>8490</v>
      </c>
      <c r="D216" s="2942">
        <v>8440</v>
      </c>
      <c r="E216" s="2942">
        <v>11260</v>
      </c>
      <c r="F216" s="2942">
        <v>1690</v>
      </c>
      <c r="G216" s="2955">
        <v>5330</v>
      </c>
    </row>
    <row r="217" spans="1:7" s="2776" customFormat="1" ht="14.25" customHeight="1">
      <c r="A217" s="2942" t="s">
        <v>304</v>
      </c>
      <c r="B217" s="2942" t="s">
        <v>2958</v>
      </c>
      <c r="C217" s="2942">
        <v>8200</v>
      </c>
      <c r="D217" s="2942">
        <v>8150</v>
      </c>
      <c r="E217" s="2942">
        <v>10910</v>
      </c>
      <c r="F217" s="2942">
        <v>1670</v>
      </c>
      <c r="G217" s="2955">
        <v>5150</v>
      </c>
    </row>
    <row r="218" spans="1:7" s="2776" customFormat="1" ht="14.25" customHeight="1">
      <c r="A218" s="2942" t="s">
        <v>304</v>
      </c>
      <c r="B218" s="2942" t="s">
        <v>3094</v>
      </c>
      <c r="C218" s="2942"/>
      <c r="D218" s="2942"/>
      <c r="E218" s="2942"/>
      <c r="F218" s="2942">
        <v>2040</v>
      </c>
      <c r="G218" s="2955"/>
    </row>
    <row r="219" spans="1:7" s="2776" customFormat="1" ht="14.25" customHeight="1">
      <c r="A219" s="2942" t="s">
        <v>304</v>
      </c>
      <c r="B219" s="2942" t="s">
        <v>3095</v>
      </c>
      <c r="C219" s="2942"/>
      <c r="D219" s="2942"/>
      <c r="E219" s="2942"/>
      <c r="F219" s="2942">
        <v>2040</v>
      </c>
      <c r="G219" s="2955"/>
    </row>
    <row r="220" spans="1:7" s="2776" customFormat="1" ht="14.25" customHeight="1">
      <c r="A220" s="2942" t="s">
        <v>304</v>
      </c>
      <c r="B220" s="2942" t="s">
        <v>3096</v>
      </c>
      <c r="C220" s="2942"/>
      <c r="D220" s="2942"/>
      <c r="E220" s="2942"/>
      <c r="F220" s="2942">
        <v>2040</v>
      </c>
      <c r="G220" s="2955"/>
    </row>
    <row r="221" spans="1:7" s="2776" customFormat="1" ht="14.25" customHeight="1">
      <c r="A221" s="2942" t="s">
        <v>304</v>
      </c>
      <c r="B221" s="2942" t="s">
        <v>3097</v>
      </c>
      <c r="C221" s="2942"/>
      <c r="D221" s="2942"/>
      <c r="E221" s="2942"/>
      <c r="F221" s="2942">
        <v>2040</v>
      </c>
      <c r="G221" s="2955"/>
    </row>
    <row r="222" spans="1:7" s="2776" customFormat="1" ht="14.25" customHeight="1">
      <c r="A222" s="2942" t="s">
        <v>304</v>
      </c>
      <c r="B222" s="2942" t="s">
        <v>3098</v>
      </c>
      <c r="C222" s="2942"/>
      <c r="D222" s="2942"/>
      <c r="E222" s="2942"/>
      <c r="F222" s="2942">
        <v>2040</v>
      </c>
      <c r="G222" s="2955"/>
    </row>
    <row r="223" spans="1:7" s="2776" customFormat="1" ht="14.25" customHeight="1">
      <c r="A223" s="2942" t="s">
        <v>304</v>
      </c>
      <c r="B223" s="2942" t="s">
        <v>3099</v>
      </c>
      <c r="C223" s="2942"/>
      <c r="D223" s="2942"/>
      <c r="E223" s="2942"/>
      <c r="F223" s="2942">
        <v>1930</v>
      </c>
      <c r="G223" s="2955"/>
    </row>
    <row r="224" spans="1:7" s="2776" customFormat="1" ht="14.25" customHeight="1">
      <c r="A224" s="2942" t="s">
        <v>304</v>
      </c>
      <c r="B224" s="2942" t="s">
        <v>3100</v>
      </c>
      <c r="C224" s="2942"/>
      <c r="D224" s="2942"/>
      <c r="E224" s="2942"/>
      <c r="F224" s="2942">
        <v>1930</v>
      </c>
      <c r="G224" s="2955"/>
    </row>
    <row r="225" spans="1:7" s="2776" customFormat="1" ht="14.25" customHeight="1">
      <c r="A225" s="2942" t="s">
        <v>304</v>
      </c>
      <c r="B225" s="2942" t="s">
        <v>3101</v>
      </c>
      <c r="C225" s="2942"/>
      <c r="D225" s="2942"/>
      <c r="E225" s="2942"/>
      <c r="F225" s="2942">
        <v>1930</v>
      </c>
      <c r="G225" s="2955"/>
    </row>
    <row r="226" spans="1:7" s="2776" customFormat="1" ht="14.25" customHeight="1">
      <c r="A226" s="2942" t="s">
        <v>304</v>
      </c>
      <c r="B226" s="2942" t="s">
        <v>3102</v>
      </c>
      <c r="C226" s="2942"/>
      <c r="D226" s="2942"/>
      <c r="E226" s="2942"/>
      <c r="F226" s="2942">
        <v>1700</v>
      </c>
      <c r="G226" s="2955"/>
    </row>
    <row r="227" spans="1:7" s="2776" customFormat="1" ht="14.25" customHeight="1">
      <c r="A227" s="2942" t="s">
        <v>304</v>
      </c>
      <c r="B227" s="2942" t="s">
        <v>3103</v>
      </c>
      <c r="C227" s="2942"/>
      <c r="D227" s="2942"/>
      <c r="E227" s="2942"/>
      <c r="F227" s="2942">
        <v>1520</v>
      </c>
      <c r="G227" s="2955"/>
    </row>
    <row r="228" spans="1:7" s="2776" customFormat="1" ht="14.25" customHeight="1">
      <c r="A228" s="2942" t="s">
        <v>304</v>
      </c>
      <c r="B228" s="2942" t="s">
        <v>3104</v>
      </c>
      <c r="C228" s="2942"/>
      <c r="D228" s="2942"/>
      <c r="E228" s="2942"/>
      <c r="F228" s="2942">
        <v>1520</v>
      </c>
      <c r="G228" s="2955"/>
    </row>
    <row r="229" spans="1:7" s="2776" customFormat="1" ht="14.25" customHeight="1">
      <c r="A229" s="2942" t="s">
        <v>304</v>
      </c>
      <c r="B229" s="2942" t="s">
        <v>3021</v>
      </c>
      <c r="C229" s="2942"/>
      <c r="D229" s="2942"/>
      <c r="E229" s="2942"/>
      <c r="F229" s="2942">
        <v>1520</v>
      </c>
      <c r="G229" s="2955"/>
    </row>
    <row r="230" spans="1:7" s="2776" customFormat="1" ht="14.25" customHeight="1">
      <c r="A230" s="2942" t="s">
        <v>304</v>
      </c>
      <c r="B230" s="2942" t="s">
        <v>3105</v>
      </c>
      <c r="C230" s="2942"/>
      <c r="D230" s="2942"/>
      <c r="E230" s="2942"/>
      <c r="F230" s="2942">
        <v>1820</v>
      </c>
      <c r="G230" s="2955"/>
    </row>
    <row r="231" spans="1:7" s="2776" customFormat="1" ht="14.25" customHeight="1">
      <c r="A231" s="2942" t="s">
        <v>304</v>
      </c>
      <c r="B231" s="2942" t="s">
        <v>3106</v>
      </c>
      <c r="C231" s="2942"/>
      <c r="D231" s="2942"/>
      <c r="E231" s="2942"/>
      <c r="F231" s="2942">
        <v>1760</v>
      </c>
      <c r="G231" s="2955"/>
    </row>
    <row r="232" spans="1:7" s="2776" customFormat="1" ht="14.25" customHeight="1">
      <c r="A232" s="2942" t="s">
        <v>304</v>
      </c>
      <c r="B232" s="2942" t="s">
        <v>3107</v>
      </c>
      <c r="C232" s="2942"/>
      <c r="D232" s="2942"/>
      <c r="E232" s="2942"/>
      <c r="F232" s="2942">
        <v>1840</v>
      </c>
      <c r="G232" s="2955"/>
    </row>
    <row r="233" spans="1:7" s="2776" customFormat="1" ht="14.25" customHeight="1" thickBot="1">
      <c r="A233" s="2956" t="s">
        <v>304</v>
      </c>
      <c r="B233" s="2949" t="s">
        <v>3038</v>
      </c>
      <c r="C233" s="2949"/>
      <c r="D233" s="2949"/>
      <c r="E233" s="2949"/>
      <c r="F233" s="2949">
        <v>1770</v>
      </c>
      <c r="G233" s="2957"/>
    </row>
    <row r="234" spans="1:7" s="2776" customFormat="1" ht="14.25" customHeight="1">
      <c r="A234" s="2947" t="s">
        <v>305</v>
      </c>
      <c r="B234" s="2938" t="s">
        <v>3108</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2879</v>
      </c>
      <c r="C238" s="2942">
        <v>6920</v>
      </c>
      <c r="D238" s="2942">
        <v>6890</v>
      </c>
      <c r="E238" s="2942">
        <v>8640</v>
      </c>
      <c r="F238" s="2942">
        <v>1310</v>
      </c>
      <c r="G238" s="2942">
        <v>4230</v>
      </c>
    </row>
    <row r="239" spans="1:7" s="2776" customFormat="1" ht="14.25" customHeight="1">
      <c r="A239" s="2942" t="s">
        <v>305</v>
      </c>
      <c r="B239" s="2942" t="s">
        <v>3109</v>
      </c>
      <c r="C239" s="2942">
        <v>6780</v>
      </c>
      <c r="D239" s="2942">
        <v>6750</v>
      </c>
      <c r="E239" s="2942">
        <v>8440</v>
      </c>
      <c r="F239" s="2942">
        <v>1160</v>
      </c>
      <c r="G239" s="2942">
        <v>4140</v>
      </c>
    </row>
    <row r="240" spans="1:7" s="2776" customFormat="1" ht="14.25" customHeight="1">
      <c r="A240" s="2942" t="s">
        <v>305</v>
      </c>
      <c r="B240" s="2942" t="s">
        <v>3110</v>
      </c>
      <c r="C240" s="2942">
        <v>5420</v>
      </c>
      <c r="D240" s="2942">
        <v>5380</v>
      </c>
      <c r="E240" s="2942">
        <v>6640</v>
      </c>
      <c r="F240" s="2942">
        <v>1020</v>
      </c>
      <c r="G240" s="2942">
        <v>3300</v>
      </c>
    </row>
    <row r="241" spans="1:7" s="2776" customFormat="1" ht="14.25" customHeight="1">
      <c r="A241" s="2942" t="s">
        <v>305</v>
      </c>
      <c r="B241" s="2942" t="s">
        <v>3111</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3112</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3113</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3114</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3115</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3116</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2941</v>
      </c>
      <c r="C258" s="2942">
        <v>6190</v>
      </c>
      <c r="D258" s="2942">
        <v>6160</v>
      </c>
      <c r="E258" s="2942">
        <v>7680</v>
      </c>
      <c r="F258" s="2942">
        <v>1170</v>
      </c>
      <c r="G258" s="2942">
        <v>3780</v>
      </c>
    </row>
    <row r="259" spans="1:7" s="2776" customFormat="1" ht="14.25" customHeight="1">
      <c r="A259" s="2942" t="s">
        <v>305</v>
      </c>
      <c r="B259" s="2942" t="s">
        <v>3117</v>
      </c>
      <c r="C259" s="2942">
        <v>7610</v>
      </c>
      <c r="D259" s="2942">
        <v>7570</v>
      </c>
      <c r="E259" s="2942">
        <v>9350</v>
      </c>
      <c r="F259" s="2942">
        <v>1350</v>
      </c>
      <c r="G259" s="2942">
        <v>4650</v>
      </c>
    </row>
    <row r="260" spans="1:7" s="2776" customFormat="1" ht="14.25" customHeight="1">
      <c r="A260" s="2942" t="s">
        <v>305</v>
      </c>
      <c r="B260" s="2942" t="s">
        <v>3118</v>
      </c>
      <c r="C260" s="2942">
        <v>6920</v>
      </c>
      <c r="D260" s="2942">
        <v>6880</v>
      </c>
      <c r="E260" s="2942">
        <v>8380</v>
      </c>
      <c r="F260" s="2942">
        <v>1160</v>
      </c>
      <c r="G260" s="2942">
        <v>4220</v>
      </c>
    </row>
    <row r="261" spans="1:7" s="2776" customFormat="1" ht="14.25" customHeight="1">
      <c r="A261" s="2942" t="s">
        <v>305</v>
      </c>
      <c r="B261" s="2942" t="s">
        <v>3119</v>
      </c>
      <c r="C261" s="2942">
        <v>6850</v>
      </c>
      <c r="D261" s="2942">
        <v>6810</v>
      </c>
      <c r="E261" s="2942">
        <v>8290</v>
      </c>
      <c r="F261" s="2942">
        <v>1130</v>
      </c>
      <c r="G261" s="2942">
        <v>4180</v>
      </c>
    </row>
    <row r="262" spans="1:7" s="2776" customFormat="1" ht="14.25" customHeight="1">
      <c r="A262" s="2942" t="s">
        <v>305</v>
      </c>
      <c r="B262" s="2942" t="s">
        <v>3120</v>
      </c>
      <c r="C262" s="2942">
        <v>5860</v>
      </c>
      <c r="D262" s="2942">
        <v>5820</v>
      </c>
      <c r="E262" s="2942">
        <v>7640</v>
      </c>
      <c r="F262" s="2942">
        <v>1070</v>
      </c>
      <c r="G262" s="2942">
        <v>3570</v>
      </c>
    </row>
    <row r="263" spans="1:7" s="2776" customFormat="1" ht="14.25" customHeight="1">
      <c r="A263" s="2942" t="s">
        <v>305</v>
      </c>
      <c r="B263" s="2942" t="s">
        <v>3121</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3122</v>
      </c>
      <c r="C265" s="2942"/>
      <c r="D265" s="2942"/>
      <c r="E265" s="2942"/>
      <c r="F265" s="2942">
        <v>1500</v>
      </c>
      <c r="G265" s="2942"/>
    </row>
    <row r="266" spans="1:7" s="2776" customFormat="1" ht="14.25" customHeight="1">
      <c r="A266" s="2942" t="s">
        <v>305</v>
      </c>
      <c r="B266" s="2942" t="s">
        <v>3123</v>
      </c>
      <c r="C266" s="2942"/>
      <c r="D266" s="2942"/>
      <c r="E266" s="2942"/>
      <c r="F266" s="2942">
        <v>1500</v>
      </c>
      <c r="G266" s="2942"/>
    </row>
    <row r="267" spans="1:7" s="2776" customFormat="1" ht="14.25" customHeight="1">
      <c r="A267" s="2942" t="s">
        <v>305</v>
      </c>
      <c r="B267" s="2942" t="s">
        <v>3124</v>
      </c>
      <c r="C267" s="2942"/>
      <c r="D267" s="2942"/>
      <c r="E267" s="2942"/>
      <c r="F267" s="2942">
        <v>1500</v>
      </c>
      <c r="G267" s="2942"/>
    </row>
    <row r="268" spans="1:7" s="2776" customFormat="1" ht="14.25" customHeight="1">
      <c r="A268" s="2942" t="s">
        <v>305</v>
      </c>
      <c r="B268" s="2942" t="s">
        <v>3125</v>
      </c>
      <c r="C268" s="2942"/>
      <c r="D268" s="2942"/>
      <c r="E268" s="2942"/>
      <c r="F268" s="2942">
        <v>1290</v>
      </c>
      <c r="G268" s="2942"/>
    </row>
    <row r="269" spans="1:7" s="2776" customFormat="1" ht="14.25" customHeight="1">
      <c r="A269" s="2942" t="s">
        <v>305</v>
      </c>
      <c r="B269" s="2942" t="s">
        <v>3126</v>
      </c>
      <c r="C269" s="2942"/>
      <c r="D269" s="2942"/>
      <c r="E269" s="2942"/>
      <c r="F269" s="2942">
        <v>1150</v>
      </c>
      <c r="G269" s="2942"/>
    </row>
    <row r="270" spans="1:7" s="2776" customFormat="1" ht="14.25" customHeight="1">
      <c r="A270" s="2942" t="s">
        <v>305</v>
      </c>
      <c r="B270" s="2942" t="s">
        <v>3127</v>
      </c>
      <c r="C270" s="2942"/>
      <c r="D270" s="2942"/>
      <c r="E270" s="2942"/>
      <c r="F270" s="2942">
        <v>1380</v>
      </c>
      <c r="G270" s="2942"/>
    </row>
    <row r="271" spans="1:7" s="2776" customFormat="1" ht="14.25" customHeight="1">
      <c r="A271" s="2942" t="s">
        <v>305</v>
      </c>
      <c r="B271" s="2942" t="s">
        <v>3128</v>
      </c>
      <c r="C271" s="2942"/>
      <c r="D271" s="2942"/>
      <c r="E271" s="2942"/>
      <c r="F271" s="2942">
        <v>1460</v>
      </c>
      <c r="G271" s="2942"/>
    </row>
    <row r="272" spans="1:7" s="2776" customFormat="1" ht="14.25" customHeight="1">
      <c r="A272" s="2942" t="s">
        <v>305</v>
      </c>
      <c r="B272" s="2942" t="s">
        <v>3129</v>
      </c>
      <c r="C272" s="2942"/>
      <c r="D272" s="2942"/>
      <c r="E272" s="2942"/>
      <c r="F272" s="2942">
        <v>1460</v>
      </c>
      <c r="G272" s="2942"/>
    </row>
    <row r="273" spans="1:7" s="2776" customFormat="1" ht="14.25" customHeight="1">
      <c r="A273" s="2942" t="s">
        <v>305</v>
      </c>
      <c r="B273" s="2942" t="s">
        <v>3022</v>
      </c>
      <c r="C273" s="2942"/>
      <c r="D273" s="2942"/>
      <c r="E273" s="2942"/>
      <c r="F273" s="2942">
        <v>1490</v>
      </c>
      <c r="G273" s="2942"/>
    </row>
    <row r="274" spans="1:7" s="2776" customFormat="1" ht="14.25" customHeight="1">
      <c r="A274" s="2942" t="s">
        <v>305</v>
      </c>
      <c r="B274" s="2942" t="s">
        <v>3130</v>
      </c>
      <c r="C274" s="2942"/>
      <c r="D274" s="2942"/>
      <c r="E274" s="2942"/>
      <c r="F274" s="2942">
        <v>1490</v>
      </c>
      <c r="G274" s="2942"/>
    </row>
    <row r="275" spans="1:7" s="2776" customFormat="1" ht="14.25" customHeight="1">
      <c r="A275" s="2942" t="s">
        <v>305</v>
      </c>
      <c r="B275" s="2942" t="s">
        <v>3131</v>
      </c>
      <c r="C275" s="2942"/>
      <c r="D275" s="2942"/>
      <c r="E275" s="2942"/>
      <c r="F275" s="2942">
        <v>1220</v>
      </c>
      <c r="G275" s="2942"/>
    </row>
    <row r="276" spans="1:7" s="2776" customFormat="1" ht="14.25" customHeight="1" thickBot="1">
      <c r="A276" s="2950" t="s">
        <v>305</v>
      </c>
      <c r="B276" s="2952" t="s">
        <v>3132</v>
      </c>
      <c r="C276" s="2953"/>
      <c r="D276" s="2953"/>
      <c r="E276" s="2953"/>
      <c r="F276" s="2953">
        <v>1380</v>
      </c>
      <c r="G276" s="2953"/>
    </row>
    <row r="277" spans="1:7" s="2776" customFormat="1" ht="14.25" customHeight="1">
      <c r="A277" s="2947" t="s">
        <v>306</v>
      </c>
      <c r="B277" s="2938" t="s">
        <v>3133</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3134</v>
      </c>
      <c r="C279" s="2942">
        <v>4760</v>
      </c>
      <c r="D279" s="2942">
        <v>4720</v>
      </c>
      <c r="E279" s="2942">
        <v>5540</v>
      </c>
      <c r="F279" s="2942">
        <v>810</v>
      </c>
      <c r="G279" s="2955">
        <v>2850</v>
      </c>
    </row>
    <row r="280" spans="1:7" s="2776" customFormat="1" ht="14.25" customHeight="1">
      <c r="A280" s="2942" t="s">
        <v>306</v>
      </c>
      <c r="B280" s="2942" t="s">
        <v>3135</v>
      </c>
      <c r="C280" s="2942">
        <v>4010</v>
      </c>
      <c r="D280" s="2942">
        <v>3950</v>
      </c>
      <c r="E280" s="2942">
        <v>4710</v>
      </c>
      <c r="F280" s="2942">
        <v>800</v>
      </c>
      <c r="G280" s="2955">
        <v>2390</v>
      </c>
    </row>
    <row r="281" spans="1:7" s="2776" customFormat="1" ht="14.25" customHeight="1">
      <c r="A281" s="2942" t="s">
        <v>306</v>
      </c>
      <c r="B281" s="2942" t="s">
        <v>3136</v>
      </c>
      <c r="C281" s="2942">
        <v>4480</v>
      </c>
      <c r="D281" s="2942">
        <v>4420</v>
      </c>
      <c r="E281" s="2942">
        <v>5230</v>
      </c>
      <c r="F281" s="2942">
        <v>870</v>
      </c>
      <c r="G281" s="2955">
        <v>2660</v>
      </c>
    </row>
    <row r="282" spans="1:7" s="2776" customFormat="1" ht="14.25" customHeight="1">
      <c r="A282" s="2942" t="s">
        <v>306</v>
      </c>
      <c r="B282" s="2942" t="s">
        <v>3137</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3138</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3139</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2914</v>
      </c>
      <c r="C293" s="2942">
        <v>5320</v>
      </c>
      <c r="D293" s="2942">
        <v>5270</v>
      </c>
      <c r="E293" s="2942">
        <v>6160</v>
      </c>
      <c r="F293" s="2942">
        <v>990</v>
      </c>
      <c r="G293" s="2955">
        <v>3170</v>
      </c>
    </row>
    <row r="294" spans="1:7" s="2776" customFormat="1" ht="14.25" customHeight="1">
      <c r="A294" s="2942" t="s">
        <v>306</v>
      </c>
      <c r="B294" s="2942" t="s">
        <v>3140</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2933</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3141</v>
      </c>
      <c r="C302" s="2942">
        <v>5520</v>
      </c>
      <c r="D302" s="2942">
        <v>5470</v>
      </c>
      <c r="E302" s="2942">
        <v>6410</v>
      </c>
      <c r="F302" s="2942">
        <v>950</v>
      </c>
      <c r="G302" s="2955">
        <v>3300</v>
      </c>
    </row>
    <row r="303" spans="1:7" s="2776" customFormat="1" ht="14.25" customHeight="1">
      <c r="A303" s="2942" t="s">
        <v>306</v>
      </c>
      <c r="B303" s="2942" t="s">
        <v>2953</v>
      </c>
      <c r="C303" s="2942">
        <v>5630</v>
      </c>
      <c r="D303" s="2942">
        <v>5590</v>
      </c>
      <c r="E303" s="2942">
        <v>6550</v>
      </c>
      <c r="F303" s="2942">
        <v>1010</v>
      </c>
      <c r="G303" s="2955">
        <v>3370</v>
      </c>
    </row>
    <row r="304" spans="1:7" s="2776" customFormat="1" ht="14.25" customHeight="1">
      <c r="A304" s="2942" t="s">
        <v>306</v>
      </c>
      <c r="B304" s="2942" t="s">
        <v>2960</v>
      </c>
      <c r="C304" s="2942">
        <v>5680</v>
      </c>
      <c r="D304" s="2942">
        <v>5620</v>
      </c>
      <c r="E304" s="2942">
        <v>6620</v>
      </c>
      <c r="F304" s="2942">
        <v>1050</v>
      </c>
      <c r="G304" s="2955">
        <v>3390</v>
      </c>
    </row>
    <row r="305" spans="1:7" s="2776" customFormat="1" ht="14.25" customHeight="1">
      <c r="A305" s="2942" t="s">
        <v>306</v>
      </c>
      <c r="B305" s="2942" t="s">
        <v>2966</v>
      </c>
      <c r="C305" s="2942">
        <v>5590</v>
      </c>
      <c r="D305" s="2942">
        <v>5530</v>
      </c>
      <c r="E305" s="2942">
        <v>6460</v>
      </c>
      <c r="F305" s="2942">
        <v>900</v>
      </c>
      <c r="G305" s="2955">
        <v>3340</v>
      </c>
    </row>
    <row r="306" spans="1:7" s="2776" customFormat="1" ht="14.25" customHeight="1">
      <c r="A306" s="2942" t="s">
        <v>306</v>
      </c>
      <c r="B306" s="2942" t="s">
        <v>3142</v>
      </c>
      <c r="C306" s="2942">
        <v>5560</v>
      </c>
      <c r="D306" s="2942">
        <v>5510</v>
      </c>
      <c r="E306" s="2942">
        <v>6440</v>
      </c>
      <c r="F306" s="2942">
        <v>900</v>
      </c>
      <c r="G306" s="2955">
        <v>3320</v>
      </c>
    </row>
    <row r="307" spans="1:7" s="2776" customFormat="1" ht="14.25" customHeight="1">
      <c r="A307" s="2942" t="s">
        <v>306</v>
      </c>
      <c r="B307" s="2942" t="s">
        <v>2978</v>
      </c>
      <c r="C307" s="2942">
        <v>5650</v>
      </c>
      <c r="D307" s="2942">
        <v>5600</v>
      </c>
      <c r="E307" s="2942">
        <v>6590</v>
      </c>
      <c r="F307" s="2942">
        <v>930</v>
      </c>
      <c r="G307" s="2955">
        <v>3380</v>
      </c>
    </row>
    <row r="308" spans="1:7" s="2776" customFormat="1" ht="14.25" customHeight="1">
      <c r="A308" s="2942" t="s">
        <v>306</v>
      </c>
      <c r="B308" s="2942" t="s">
        <v>3143</v>
      </c>
      <c r="C308" s="2942">
        <v>5620</v>
      </c>
      <c r="D308" s="2942">
        <v>5580</v>
      </c>
      <c r="E308" s="2942">
        <v>6540</v>
      </c>
      <c r="F308" s="2942">
        <v>910</v>
      </c>
      <c r="G308" s="2955">
        <v>3370</v>
      </c>
    </row>
    <row r="309" spans="1:7" s="2776" customFormat="1" ht="14.25" customHeight="1">
      <c r="A309" s="2942" t="s">
        <v>306</v>
      </c>
      <c r="B309" s="2942" t="s">
        <v>3144</v>
      </c>
      <c r="C309" s="2942">
        <v>5060</v>
      </c>
      <c r="D309" s="2942">
        <v>5020</v>
      </c>
      <c r="E309" s="2942">
        <v>6370</v>
      </c>
      <c r="F309" s="2942">
        <v>800</v>
      </c>
      <c r="G309" s="2955">
        <v>3020</v>
      </c>
    </row>
    <row r="310" spans="1:7" s="2776" customFormat="1" ht="14.25" customHeight="1">
      <c r="A310" s="2942" t="s">
        <v>306</v>
      </c>
      <c r="B310" s="2942" t="s">
        <v>2993</v>
      </c>
      <c r="C310" s="2942">
        <v>5150</v>
      </c>
      <c r="D310" s="2942">
        <v>5110</v>
      </c>
      <c r="E310" s="2942">
        <v>6500</v>
      </c>
      <c r="F310" s="2942">
        <v>880</v>
      </c>
      <c r="G310" s="2955">
        <v>3080</v>
      </c>
    </row>
    <row r="311" spans="1:7" s="2776" customFormat="1" ht="14.25" customHeight="1">
      <c r="A311" s="2942" t="s">
        <v>306</v>
      </c>
      <c r="B311" s="2942" t="s">
        <v>3145</v>
      </c>
      <c r="C311" s="2942">
        <v>4750</v>
      </c>
      <c r="D311" s="2942">
        <v>4710</v>
      </c>
      <c r="E311" s="2942">
        <v>5510</v>
      </c>
      <c r="F311" s="2942">
        <v>880</v>
      </c>
      <c r="G311" s="2955">
        <v>2840</v>
      </c>
    </row>
    <row r="312" spans="1:7" s="2776" customFormat="1" ht="14.25" customHeight="1">
      <c r="A312" s="2942" t="s">
        <v>306</v>
      </c>
      <c r="B312" s="2942" t="s">
        <v>3003</v>
      </c>
      <c r="C312" s="2942">
        <v>4690</v>
      </c>
      <c r="D312" s="2942">
        <v>4640</v>
      </c>
      <c r="E312" s="2942">
        <v>5420</v>
      </c>
      <c r="F312" s="2942">
        <v>800</v>
      </c>
      <c r="G312" s="2955">
        <v>2800</v>
      </c>
    </row>
    <row r="313" spans="1:7" s="2776" customFormat="1" ht="14.25" customHeight="1">
      <c r="A313" s="2942" t="s">
        <v>306</v>
      </c>
      <c r="B313" s="2942" t="s">
        <v>3008</v>
      </c>
      <c r="C313" s="2942">
        <v>4810</v>
      </c>
      <c r="D313" s="2942">
        <v>4760</v>
      </c>
      <c r="E313" s="2942">
        <v>5550</v>
      </c>
      <c r="F313" s="2942">
        <v>920</v>
      </c>
      <c r="G313" s="2955">
        <v>2870</v>
      </c>
    </row>
    <row r="314" spans="1:7" s="2776" customFormat="1" ht="14.25" customHeight="1">
      <c r="A314" s="2942" t="s">
        <v>306</v>
      </c>
      <c r="B314" s="2942" t="s">
        <v>3146</v>
      </c>
      <c r="C314" s="2942"/>
      <c r="D314" s="2942"/>
      <c r="E314" s="2942"/>
      <c r="F314" s="2942">
        <v>1020</v>
      </c>
      <c r="G314" s="2955"/>
    </row>
    <row r="315" spans="1:7" s="2776" customFormat="1" ht="14.25" customHeight="1">
      <c r="A315" s="2942" t="s">
        <v>306</v>
      </c>
      <c r="B315" s="2942" t="s">
        <v>3147</v>
      </c>
      <c r="C315" s="2942"/>
      <c r="D315" s="2942"/>
      <c r="E315" s="2942"/>
      <c r="F315" s="2942">
        <v>1050</v>
      </c>
      <c r="G315" s="2955"/>
    </row>
    <row r="316" spans="1:7" s="2776" customFormat="1" ht="14.25" customHeight="1">
      <c r="A316" s="2942" t="s">
        <v>306</v>
      </c>
      <c r="B316" s="2942" t="s">
        <v>3023</v>
      </c>
      <c r="C316" s="2942"/>
      <c r="D316" s="2942"/>
      <c r="E316" s="2942"/>
      <c r="F316" s="2942">
        <v>900</v>
      </c>
      <c r="G316" s="2955"/>
    </row>
    <row r="317" spans="1:7" s="2776" customFormat="1" ht="14.25" customHeight="1">
      <c r="A317" s="2942" t="s">
        <v>306</v>
      </c>
      <c r="B317" s="2942" t="s">
        <v>3148</v>
      </c>
      <c r="C317" s="2942"/>
      <c r="D317" s="2942"/>
      <c r="E317" s="2942"/>
      <c r="F317" s="2942">
        <v>920</v>
      </c>
      <c r="G317" s="2955"/>
    </row>
    <row r="318" spans="1:7" s="2776" customFormat="1" ht="14.25" customHeight="1">
      <c r="A318" s="2942" t="s">
        <v>306</v>
      </c>
      <c r="B318" s="2942" t="s">
        <v>3149</v>
      </c>
      <c r="C318" s="2942"/>
      <c r="D318" s="2942"/>
      <c r="E318" s="2942"/>
      <c r="F318" s="2942">
        <v>1080</v>
      </c>
      <c r="G318" s="2955"/>
    </row>
    <row r="319" spans="1:7" s="2776" customFormat="1" ht="14.25" customHeight="1">
      <c r="A319" s="2942" t="s">
        <v>306</v>
      </c>
      <c r="B319" s="2942" t="s">
        <v>3036</v>
      </c>
      <c r="C319" s="2942"/>
      <c r="D319" s="2942"/>
      <c r="E319" s="2942"/>
      <c r="F319" s="2942">
        <v>1020</v>
      </c>
      <c r="G319" s="2955"/>
    </row>
    <row r="320" spans="1:7" s="2776" customFormat="1" ht="14.25" customHeight="1">
      <c r="A320" s="2942" t="s">
        <v>306</v>
      </c>
      <c r="B320" s="2942" t="s">
        <v>3039</v>
      </c>
      <c r="C320" s="2942"/>
      <c r="D320" s="2942"/>
      <c r="E320" s="2942"/>
      <c r="F320" s="2942">
        <v>1050</v>
      </c>
      <c r="G320" s="2955"/>
    </row>
    <row r="321" spans="1:7" s="2776" customFormat="1" ht="14.25" customHeight="1">
      <c r="A321" s="2942" t="s">
        <v>306</v>
      </c>
      <c r="B321" s="2942" t="s">
        <v>3041</v>
      </c>
      <c r="C321" s="2942"/>
      <c r="D321" s="2942"/>
      <c r="E321" s="2942"/>
      <c r="F321" s="2942">
        <v>960</v>
      </c>
      <c r="G321" s="2955"/>
    </row>
    <row r="322" spans="1:7" s="2776" customFormat="1" ht="14.25" customHeight="1">
      <c r="A322" s="2942" t="s">
        <v>306</v>
      </c>
      <c r="B322" s="2942" t="s">
        <v>3043</v>
      </c>
      <c r="C322" s="2942"/>
      <c r="D322" s="2942"/>
      <c r="E322" s="2942"/>
      <c r="F322" s="2942">
        <v>960</v>
      </c>
      <c r="G322" s="2955"/>
    </row>
    <row r="323" spans="1:7" s="2776" customFormat="1" ht="14.25" customHeight="1">
      <c r="A323" s="2942" t="s">
        <v>306</v>
      </c>
      <c r="B323" s="2942" t="s">
        <v>3045</v>
      </c>
      <c r="C323" s="2942"/>
      <c r="D323" s="2942"/>
      <c r="E323" s="2942"/>
      <c r="F323" s="2942">
        <v>880</v>
      </c>
      <c r="G323" s="2955"/>
    </row>
    <row r="324" spans="1:7" s="2776" customFormat="1" ht="14.25" customHeight="1">
      <c r="A324" s="2942" t="s">
        <v>306</v>
      </c>
      <c r="B324" s="2942" t="s">
        <v>3047</v>
      </c>
      <c r="C324" s="2942"/>
      <c r="D324" s="2942"/>
      <c r="E324" s="2942"/>
      <c r="F324" s="2942">
        <v>930</v>
      </c>
      <c r="G324" s="2955"/>
    </row>
    <row r="325" spans="1:7" s="2776" customFormat="1" ht="14.25" customHeight="1">
      <c r="A325" s="2942" t="s">
        <v>306</v>
      </c>
      <c r="B325" s="2943" t="s">
        <v>3049</v>
      </c>
      <c r="C325" s="2942"/>
      <c r="D325" s="2942"/>
      <c r="E325" s="2942"/>
      <c r="F325" s="2942">
        <v>900</v>
      </c>
      <c r="G325" s="2955"/>
    </row>
    <row r="326" spans="1:7" s="2776" customFormat="1" ht="14.25" customHeight="1" thickBot="1">
      <c r="A326" s="2956" t="s">
        <v>306</v>
      </c>
      <c r="B326" s="2949" t="s">
        <v>3051</v>
      </c>
      <c r="C326" s="2949"/>
      <c r="D326" s="2949"/>
      <c r="E326" s="2949"/>
      <c r="F326" s="2949">
        <v>790</v>
      </c>
      <c r="G326" s="2957"/>
    </row>
    <row r="327" spans="1:7" s="2776" customFormat="1" ht="14.25" customHeight="1">
      <c r="A327" s="2947" t="s">
        <v>307</v>
      </c>
      <c r="B327" s="2938" t="s">
        <v>3150</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3151</v>
      </c>
      <c r="C329" s="2942">
        <v>2730</v>
      </c>
      <c r="D329" s="2942">
        <v>2690</v>
      </c>
      <c r="E329" s="2942">
        <v>3100</v>
      </c>
      <c r="F329" s="2942">
        <v>660</v>
      </c>
      <c r="G329" s="2942">
        <v>1610</v>
      </c>
    </row>
    <row r="330" spans="1:7" s="2776" customFormat="1" ht="14.25" customHeight="1">
      <c r="A330" s="2942" t="s">
        <v>307</v>
      </c>
      <c r="B330" s="2942" t="s">
        <v>3152</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2885</v>
      </c>
      <c r="C332" s="2942">
        <v>3520</v>
      </c>
      <c r="D332" s="2942">
        <v>3480</v>
      </c>
      <c r="E332" s="2942">
        <v>3830</v>
      </c>
      <c r="F332" s="2942">
        <v>720</v>
      </c>
      <c r="G332" s="2942">
        <v>2090</v>
      </c>
    </row>
    <row r="333" spans="1:7" s="2776" customFormat="1" ht="14.25" customHeight="1">
      <c r="A333" s="2942" t="s">
        <v>307</v>
      </c>
      <c r="B333" s="2942" t="s">
        <v>3153</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2895</v>
      </c>
      <c r="C336" s="2942">
        <v>3570</v>
      </c>
      <c r="D336" s="2942">
        <v>3530</v>
      </c>
      <c r="E336" s="2942">
        <v>3880</v>
      </c>
      <c r="F336" s="2942">
        <v>770</v>
      </c>
      <c r="G336" s="2942">
        <v>2110</v>
      </c>
    </row>
    <row r="337" spans="1:10" s="2776" customFormat="1" ht="14.25" customHeight="1">
      <c r="A337" s="2942" t="s">
        <v>307</v>
      </c>
      <c r="B337" s="2942" t="s">
        <v>3154</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3155</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3156</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2920</v>
      </c>
      <c r="C345" s="2942">
        <v>3190</v>
      </c>
      <c r="D345" s="2942">
        <v>3140</v>
      </c>
      <c r="E345" s="2942">
        <v>3450</v>
      </c>
      <c r="F345" s="2942">
        <v>720</v>
      </c>
      <c r="G345" s="2942">
        <v>1880</v>
      </c>
      <c r="J345" s="2776"/>
    </row>
    <row r="346" spans="1:10">
      <c r="A346" s="2942" t="s">
        <v>307</v>
      </c>
      <c r="B346" s="2942" t="s">
        <v>3157</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2929</v>
      </c>
      <c r="C348" s="2942">
        <v>4000</v>
      </c>
      <c r="D348" s="2942">
        <v>3950</v>
      </c>
      <c r="E348" s="2942">
        <v>4430</v>
      </c>
      <c r="F348" s="2942">
        <v>760</v>
      </c>
      <c r="G348" s="2942">
        <v>2360</v>
      </c>
      <c r="J348" s="2776"/>
    </row>
    <row r="349" spans="1:10">
      <c r="A349" s="2942" t="s">
        <v>307</v>
      </c>
      <c r="B349" s="2942" t="s">
        <v>2934</v>
      </c>
      <c r="C349" s="2942">
        <v>3820</v>
      </c>
      <c r="D349" s="2942">
        <v>3780</v>
      </c>
      <c r="E349" s="2942">
        <v>4170</v>
      </c>
      <c r="F349" s="2942">
        <v>710</v>
      </c>
      <c r="G349" s="2942">
        <v>2260</v>
      </c>
      <c r="J349" s="2776"/>
    </row>
    <row r="350" spans="1:10">
      <c r="A350" s="2942" t="s">
        <v>307</v>
      </c>
      <c r="B350" s="2942" t="s">
        <v>3158</v>
      </c>
      <c r="C350" s="2942">
        <v>3760</v>
      </c>
      <c r="D350" s="2942">
        <v>3730</v>
      </c>
      <c r="E350" s="2942">
        <v>4100</v>
      </c>
      <c r="F350" s="2942">
        <v>800</v>
      </c>
      <c r="G350" s="2942">
        <v>2230</v>
      </c>
      <c r="J350" s="2776"/>
    </row>
    <row r="351" spans="1:10">
      <c r="A351" s="2942" t="s">
        <v>307</v>
      </c>
      <c r="B351" s="2942" t="s">
        <v>2942</v>
      </c>
      <c r="C351" s="2942">
        <v>3610</v>
      </c>
      <c r="D351" s="2942">
        <v>3580</v>
      </c>
      <c r="E351" s="2942">
        <v>3930</v>
      </c>
      <c r="F351" s="2942">
        <v>700</v>
      </c>
      <c r="G351" s="2942">
        <v>2140</v>
      </c>
      <c r="J351" s="2776"/>
    </row>
    <row r="352" spans="1:10">
      <c r="A352" s="2942" t="s">
        <v>307</v>
      </c>
      <c r="B352" s="2942" t="s">
        <v>2947</v>
      </c>
      <c r="C352" s="2942">
        <v>3670</v>
      </c>
      <c r="D352" s="2942">
        <v>3630</v>
      </c>
      <c r="E352" s="2942">
        <v>4000</v>
      </c>
      <c r="F352" s="2942">
        <v>750</v>
      </c>
      <c r="G352" s="2942">
        <v>2180</v>
      </c>
    </row>
    <row r="353" spans="1:7" s="2777" customFormat="1">
      <c r="A353" s="2942" t="s">
        <v>307</v>
      </c>
      <c r="B353" s="2942" t="s">
        <v>3159</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2967</v>
      </c>
      <c r="C355" s="2942">
        <v>3650</v>
      </c>
      <c r="D355" s="2942">
        <v>3610</v>
      </c>
      <c r="E355" s="2942">
        <v>4200</v>
      </c>
      <c r="F355" s="2942">
        <v>640</v>
      </c>
      <c r="G355" s="2942">
        <v>2160</v>
      </c>
    </row>
    <row r="356" spans="1:7" s="2777" customFormat="1">
      <c r="A356" s="2942" t="s">
        <v>307</v>
      </c>
      <c r="B356" s="2942" t="s">
        <v>2974</v>
      </c>
      <c r="C356" s="2942">
        <v>3260</v>
      </c>
      <c r="D356" s="2942">
        <v>3230</v>
      </c>
      <c r="E356" s="2942">
        <v>3740</v>
      </c>
      <c r="F356" s="2942">
        <v>600</v>
      </c>
      <c r="G356" s="2942">
        <v>1930</v>
      </c>
    </row>
    <row r="357" spans="1:7" s="2777" customFormat="1" ht="12" thickBot="1">
      <c r="A357" s="2950" t="s">
        <v>307</v>
      </c>
      <c r="B357" s="2953" t="s">
        <v>3160</v>
      </c>
      <c r="C357" s="2953">
        <v>3690</v>
      </c>
      <c r="D357" s="2953">
        <v>3650</v>
      </c>
      <c r="E357" s="2953">
        <v>4020</v>
      </c>
      <c r="F357" s="2953">
        <v>700</v>
      </c>
      <c r="G357" s="2953">
        <v>2190</v>
      </c>
    </row>
    <row r="358" spans="1:7" s="2777" customFormat="1">
      <c r="A358" s="2947" t="s">
        <v>3161</v>
      </c>
      <c r="B358" s="2938" t="s">
        <v>3162</v>
      </c>
      <c r="C358" s="2938">
        <v>2080</v>
      </c>
      <c r="D358" s="2938">
        <v>2040</v>
      </c>
      <c r="E358" s="2938">
        <v>2010</v>
      </c>
      <c r="F358" s="2938">
        <v>530</v>
      </c>
      <c r="G358" s="2954">
        <v>1230</v>
      </c>
    </row>
    <row r="359" spans="1:7" s="2777" customFormat="1">
      <c r="A359" s="2942" t="s">
        <v>3161</v>
      </c>
      <c r="B359" s="2942" t="s">
        <v>3163</v>
      </c>
      <c r="C359" s="2942">
        <v>1850</v>
      </c>
      <c r="D359" s="2942">
        <v>1820</v>
      </c>
      <c r="E359" s="2942">
        <v>1780</v>
      </c>
      <c r="F359" s="2942">
        <v>520</v>
      </c>
      <c r="G359" s="2955">
        <v>1100</v>
      </c>
    </row>
    <row r="360" spans="1:7" s="2777" customFormat="1">
      <c r="A360" s="2942" t="s">
        <v>3161</v>
      </c>
      <c r="B360" s="2942" t="s">
        <v>3164</v>
      </c>
      <c r="C360" s="2942">
        <v>2020</v>
      </c>
      <c r="D360" s="2942">
        <v>1990</v>
      </c>
      <c r="E360" s="2942">
        <v>1950</v>
      </c>
      <c r="F360" s="2942">
        <v>500</v>
      </c>
      <c r="G360" s="2955">
        <v>1200</v>
      </c>
    </row>
    <row r="361" spans="1:7" s="2777" customFormat="1">
      <c r="A361" s="2942" t="s">
        <v>3161</v>
      </c>
      <c r="B361" s="2942" t="s">
        <v>153</v>
      </c>
      <c r="C361" s="2942">
        <v>2260</v>
      </c>
      <c r="D361" s="2942">
        <v>2220</v>
      </c>
      <c r="E361" s="2942">
        <v>2180</v>
      </c>
      <c r="F361" s="2942">
        <v>580</v>
      </c>
      <c r="G361" s="2955">
        <v>1340</v>
      </c>
    </row>
    <row r="362" spans="1:7" s="2777" customFormat="1">
      <c r="A362" s="2942" t="s">
        <v>3161</v>
      </c>
      <c r="B362" s="2942" t="s">
        <v>3165</v>
      </c>
      <c r="C362" s="2942">
        <v>2650</v>
      </c>
      <c r="D362" s="2942">
        <v>2610</v>
      </c>
      <c r="E362" s="2942">
        <v>2570</v>
      </c>
      <c r="F362" s="2942">
        <v>630</v>
      </c>
      <c r="G362" s="2955">
        <v>1570</v>
      </c>
    </row>
    <row r="363" spans="1:7" s="2777" customFormat="1">
      <c r="A363" s="2942" t="s">
        <v>3161</v>
      </c>
      <c r="B363" s="2942" t="s">
        <v>2886</v>
      </c>
      <c r="C363" s="2942">
        <v>2390</v>
      </c>
      <c r="D363" s="2942">
        <v>2360</v>
      </c>
      <c r="E363" s="2942">
        <v>2320</v>
      </c>
      <c r="F363" s="2942">
        <v>600</v>
      </c>
      <c r="G363" s="2955">
        <v>1420</v>
      </c>
    </row>
    <row r="364" spans="1:7" s="2777" customFormat="1">
      <c r="A364" s="2942" t="s">
        <v>3161</v>
      </c>
      <c r="B364" s="2942" t="s">
        <v>3166</v>
      </c>
      <c r="C364" s="2942">
        <v>2050</v>
      </c>
      <c r="D364" s="2942">
        <v>2030</v>
      </c>
      <c r="E364" s="2942">
        <v>1990</v>
      </c>
      <c r="F364" s="2942">
        <v>550</v>
      </c>
      <c r="G364" s="2955">
        <v>1220</v>
      </c>
    </row>
    <row r="365" spans="1:7" s="2777" customFormat="1">
      <c r="A365" s="2942" t="s">
        <v>3161</v>
      </c>
      <c r="B365" s="2942" t="s">
        <v>200</v>
      </c>
      <c r="C365" s="2942">
        <v>2140</v>
      </c>
      <c r="D365" s="2942">
        <v>2100</v>
      </c>
      <c r="E365" s="2942">
        <v>2060</v>
      </c>
      <c r="F365" s="2942">
        <v>540</v>
      </c>
      <c r="G365" s="2955">
        <v>1270</v>
      </c>
    </row>
    <row r="366" spans="1:7" s="2777" customFormat="1">
      <c r="A366" s="2942" t="s">
        <v>3161</v>
      </c>
      <c r="B366" s="2942" t="s">
        <v>2893</v>
      </c>
      <c r="C366" s="2942">
        <v>2410</v>
      </c>
      <c r="D366" s="2942">
        <v>2370</v>
      </c>
      <c r="E366" s="2942">
        <v>2330</v>
      </c>
      <c r="F366" s="2942">
        <v>570</v>
      </c>
      <c r="G366" s="2955">
        <v>1440</v>
      </c>
    </row>
    <row r="367" spans="1:7" s="2777" customFormat="1">
      <c r="A367" s="2942" t="s">
        <v>3161</v>
      </c>
      <c r="B367" s="2942" t="s">
        <v>3167</v>
      </c>
      <c r="C367" s="2942">
        <v>2300</v>
      </c>
      <c r="D367" s="2942">
        <v>2260</v>
      </c>
      <c r="E367" s="2942">
        <v>2220</v>
      </c>
      <c r="F367" s="2942">
        <v>560</v>
      </c>
      <c r="G367" s="2955">
        <v>1370</v>
      </c>
    </row>
    <row r="368" spans="1:7" s="2777" customFormat="1">
      <c r="A368" s="2942" t="s">
        <v>3161</v>
      </c>
      <c r="B368" s="2942" t="s">
        <v>3168</v>
      </c>
      <c r="C368" s="2942">
        <v>2430</v>
      </c>
      <c r="D368" s="2942">
        <v>2390</v>
      </c>
      <c r="E368" s="2942">
        <v>2350</v>
      </c>
      <c r="F368" s="2942">
        <v>570</v>
      </c>
      <c r="G368" s="2955">
        <v>1450</v>
      </c>
    </row>
    <row r="369" spans="1:7" s="2777" customFormat="1">
      <c r="A369" s="2942" t="s">
        <v>3161</v>
      </c>
      <c r="B369" s="2942" t="s">
        <v>214</v>
      </c>
      <c r="C369" s="2942">
        <v>2320</v>
      </c>
      <c r="D369" s="2942">
        <v>2290</v>
      </c>
      <c r="E369" s="2942">
        <v>2250</v>
      </c>
      <c r="F369" s="2942">
        <v>550</v>
      </c>
      <c r="G369" s="2955">
        <v>1380</v>
      </c>
    </row>
    <row r="370" spans="1:7" s="2777" customFormat="1">
      <c r="A370" s="2942" t="s">
        <v>3161</v>
      </c>
      <c r="B370" s="2942" t="s">
        <v>221</v>
      </c>
      <c r="C370" s="2942">
        <v>2190</v>
      </c>
      <c r="D370" s="2942">
        <v>2170</v>
      </c>
      <c r="E370" s="2942">
        <v>2130</v>
      </c>
      <c r="F370" s="2942">
        <v>530</v>
      </c>
      <c r="G370" s="2955">
        <v>1310</v>
      </c>
    </row>
    <row r="371" spans="1:7" s="2777" customFormat="1">
      <c r="A371" s="2942" t="s">
        <v>3161</v>
      </c>
      <c r="B371" s="2942" t="s">
        <v>229</v>
      </c>
      <c r="C371" s="2942">
        <v>2460</v>
      </c>
      <c r="D371" s="2942">
        <v>2420</v>
      </c>
      <c r="E371" s="2942">
        <v>2370</v>
      </c>
      <c r="F371" s="2942">
        <v>560</v>
      </c>
      <c r="G371" s="2955">
        <v>1470</v>
      </c>
    </row>
    <row r="372" spans="1:7" s="2777" customFormat="1">
      <c r="A372" s="2942" t="s">
        <v>3161</v>
      </c>
      <c r="B372" s="2942" t="s">
        <v>3169</v>
      </c>
      <c r="C372" s="2942">
        <v>2250</v>
      </c>
      <c r="D372" s="2942">
        <v>2210</v>
      </c>
      <c r="E372" s="2942">
        <v>2180</v>
      </c>
      <c r="F372" s="2942">
        <v>550</v>
      </c>
      <c r="G372" s="2955">
        <v>1340</v>
      </c>
    </row>
    <row r="373" spans="1:7" s="2777" customFormat="1">
      <c r="A373" s="2942" t="s">
        <v>3161</v>
      </c>
      <c r="B373" s="2942" t="s">
        <v>258</v>
      </c>
      <c r="C373" s="2942">
        <v>2210</v>
      </c>
      <c r="D373" s="2942">
        <v>2190</v>
      </c>
      <c r="E373" s="2942">
        <v>2150</v>
      </c>
      <c r="F373" s="2942">
        <v>530</v>
      </c>
      <c r="G373" s="2955">
        <v>1320</v>
      </c>
    </row>
    <row r="374" spans="1:7" s="2777" customFormat="1">
      <c r="A374" s="2942" t="s">
        <v>3161</v>
      </c>
      <c r="B374" s="2942" t="s">
        <v>266</v>
      </c>
      <c r="C374" s="2942">
        <v>2320</v>
      </c>
      <c r="D374" s="2942">
        <v>2280</v>
      </c>
      <c r="E374" s="2942">
        <v>2230</v>
      </c>
      <c r="F374" s="2942">
        <v>580</v>
      </c>
      <c r="G374" s="2955">
        <v>1380</v>
      </c>
    </row>
    <row r="375" spans="1:7" s="2777" customFormat="1">
      <c r="A375" s="2942" t="s">
        <v>3161</v>
      </c>
      <c r="B375" s="2942" t="s">
        <v>3170</v>
      </c>
      <c r="C375" s="2942">
        <v>2090</v>
      </c>
      <c r="D375" s="2942">
        <v>2050</v>
      </c>
      <c r="E375" s="2942">
        <v>2020</v>
      </c>
      <c r="F375" s="2942">
        <v>520</v>
      </c>
      <c r="G375" s="2955">
        <v>1240</v>
      </c>
    </row>
    <row r="376" spans="1:7" s="2777" customFormat="1">
      <c r="A376" s="2942" t="s">
        <v>3161</v>
      </c>
      <c r="B376" s="2942" t="s">
        <v>277</v>
      </c>
      <c r="C376" s="2942">
        <v>2010</v>
      </c>
      <c r="D376" s="2942">
        <v>1980</v>
      </c>
      <c r="E376" s="2942">
        <v>1940</v>
      </c>
      <c r="F376" s="2942">
        <v>540</v>
      </c>
      <c r="G376" s="2955">
        <v>1190</v>
      </c>
    </row>
    <row r="377" spans="1:7" s="2777" customFormat="1" ht="12" thickBot="1">
      <c r="A377" s="2950" t="s">
        <v>3161</v>
      </c>
      <c r="B377" s="2953" t="s">
        <v>2923</v>
      </c>
      <c r="C377" s="2953">
        <v>1930</v>
      </c>
      <c r="D377" s="2953">
        <v>1890</v>
      </c>
      <c r="E377" s="2953">
        <v>1860</v>
      </c>
      <c r="F377" s="2953">
        <v>530</v>
      </c>
      <c r="G377" s="2958">
        <v>1150</v>
      </c>
    </row>
    <row r="378" spans="1:7" s="2777" customFormat="1">
      <c r="A378" s="2959" t="s">
        <v>3171</v>
      </c>
      <c r="B378" s="2938" t="s">
        <v>3172</v>
      </c>
      <c r="C378" s="2938">
        <v>1520</v>
      </c>
      <c r="D378" s="2938">
        <v>1490</v>
      </c>
      <c r="E378" s="2938">
        <v>1460</v>
      </c>
      <c r="F378" s="2938">
        <v>460</v>
      </c>
      <c r="G378" s="2954">
        <v>940</v>
      </c>
    </row>
    <row r="379" spans="1:7" s="2777" customFormat="1">
      <c r="A379" s="2960" t="s">
        <v>3171</v>
      </c>
      <c r="B379" s="2942" t="s">
        <v>3173</v>
      </c>
      <c r="C379" s="2942">
        <v>1500</v>
      </c>
      <c r="D379" s="2942">
        <v>1470</v>
      </c>
      <c r="E379" s="2942">
        <v>1430</v>
      </c>
      <c r="F379" s="2942">
        <v>460</v>
      </c>
      <c r="G379" s="2955">
        <v>920</v>
      </c>
    </row>
    <row r="380" spans="1:7" s="2777" customFormat="1">
      <c r="A380" s="2960" t="s">
        <v>3171</v>
      </c>
      <c r="B380" s="2942" t="s">
        <v>3174</v>
      </c>
      <c r="C380" s="2942">
        <v>1620</v>
      </c>
      <c r="D380" s="2942">
        <v>1590</v>
      </c>
      <c r="E380" s="2942">
        <v>1560</v>
      </c>
      <c r="F380" s="2942">
        <v>480</v>
      </c>
      <c r="G380" s="2955">
        <v>1000</v>
      </c>
    </row>
    <row r="381" spans="1:7" s="2777" customFormat="1">
      <c r="A381" s="2960" t="s">
        <v>3171</v>
      </c>
      <c r="B381" s="2942" t="s">
        <v>3175</v>
      </c>
      <c r="C381" s="2942">
        <v>1460</v>
      </c>
      <c r="D381" s="2942">
        <v>1430</v>
      </c>
      <c r="E381" s="2942">
        <v>1390</v>
      </c>
      <c r="F381" s="2942">
        <v>450</v>
      </c>
      <c r="G381" s="2955">
        <v>900</v>
      </c>
    </row>
    <row r="382" spans="1:7" s="2777" customFormat="1">
      <c r="A382" s="2960" t="s">
        <v>3171</v>
      </c>
      <c r="B382" s="2942" t="s">
        <v>3176</v>
      </c>
      <c r="C382" s="2942">
        <v>1310</v>
      </c>
      <c r="D382" s="2942">
        <v>1280</v>
      </c>
      <c r="E382" s="2942">
        <v>1250</v>
      </c>
      <c r="F382" s="2942">
        <v>440</v>
      </c>
      <c r="G382" s="2955">
        <v>800</v>
      </c>
    </row>
    <row r="383" spans="1:7" s="2777" customFormat="1">
      <c r="A383" s="2960" t="s">
        <v>3171</v>
      </c>
      <c r="B383" s="2942" t="s">
        <v>3177</v>
      </c>
      <c r="C383" s="2942">
        <v>1260</v>
      </c>
      <c r="D383" s="2942">
        <v>1230</v>
      </c>
      <c r="E383" s="2942">
        <v>1200</v>
      </c>
      <c r="F383" s="2942">
        <v>420</v>
      </c>
      <c r="G383" s="2955">
        <v>770</v>
      </c>
    </row>
    <row r="384" spans="1:7" s="2777" customFormat="1" ht="12" thickBot="1">
      <c r="A384" s="2961" t="s">
        <v>3171</v>
      </c>
      <c r="B384" s="2949" t="s">
        <v>3178</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600" t="s">
        <v>3179</v>
      </c>
      <c r="B1" s="3600"/>
    </row>
    <row r="2" spans="1:7" ht="14.25" thickBot="1">
      <c r="A2" s="2963"/>
      <c r="B2" s="2963"/>
    </row>
    <row r="3" spans="1:7" ht="14.25" thickBot="1">
      <c r="A3" s="2963"/>
      <c r="B3" s="2963"/>
      <c r="C3" s="2964" t="s">
        <v>2809</v>
      </c>
      <c r="D3" s="2964" t="s">
        <v>2865</v>
      </c>
      <c r="E3" s="2964" t="s">
        <v>2811</v>
      </c>
      <c r="F3" s="2964" t="s">
        <v>2866</v>
      </c>
      <c r="G3" s="2964" t="s">
        <v>2629</v>
      </c>
    </row>
    <row r="4" spans="1:7" ht="14.25" thickBot="1">
      <c r="A4" s="2965" t="s">
        <v>2864</v>
      </c>
      <c r="B4" s="2966" t="s">
        <v>2870</v>
      </c>
      <c r="C4" s="2964"/>
      <c r="D4" s="2964"/>
      <c r="E4" s="2964"/>
      <c r="F4" s="2964"/>
      <c r="G4" s="2964"/>
    </row>
    <row r="5" spans="1:7">
      <c r="A5" s="2967" t="s">
        <v>2838</v>
      </c>
      <c r="B5" s="2968" t="s">
        <v>2852</v>
      </c>
      <c r="C5" s="2969">
        <v>9.8000000000000004E-2</v>
      </c>
      <c r="D5" s="2969">
        <v>8.6999999999999994E-2</v>
      </c>
      <c r="E5" s="2969">
        <v>8.6999999999999994E-2</v>
      </c>
      <c r="F5" s="2969">
        <v>9.8000000000000004E-2</v>
      </c>
      <c r="G5" s="2970">
        <v>9.5000000000000001E-2</v>
      </c>
    </row>
    <row r="6" spans="1:7">
      <c r="A6" s="2971" t="s">
        <v>144</v>
      </c>
      <c r="B6" s="2972" t="s">
        <v>2867</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2853</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2903</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2921</v>
      </c>
      <c r="C29" s="2981"/>
      <c r="D29" s="2977">
        <v>5.1999999999999998E-2</v>
      </c>
      <c r="E29" s="2977">
        <v>7.0000000000000007E-2</v>
      </c>
      <c r="F29" s="2981"/>
      <c r="G29" s="2979">
        <v>7.0999999999999994E-2</v>
      </c>
    </row>
    <row r="30" spans="1:7">
      <c r="A30" s="2982" t="s">
        <v>296</v>
      </c>
      <c r="B30" s="2968" t="s">
        <v>2854</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2840</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2924</v>
      </c>
      <c r="C50" s="2973">
        <v>9.8000000000000004E-2</v>
      </c>
      <c r="D50" s="2973">
        <v>7.2999999999999995E-2</v>
      </c>
      <c r="E50" s="2973">
        <v>7.0999999999999994E-2</v>
      </c>
      <c r="F50" s="2984"/>
      <c r="G50" s="2974">
        <v>7.2999999999999995E-2</v>
      </c>
    </row>
    <row r="51" spans="1:7">
      <c r="A51" s="2983" t="s">
        <v>296</v>
      </c>
      <c r="B51" s="2972" t="s">
        <v>2926</v>
      </c>
      <c r="C51" s="2973">
        <v>9.9000000000000005E-2</v>
      </c>
      <c r="D51" s="2973">
        <v>8.5000000000000006E-2</v>
      </c>
      <c r="E51" s="2973">
        <v>6.3E-2</v>
      </c>
      <c r="F51" s="2984"/>
      <c r="G51" s="2974">
        <v>9.6000000000000002E-2</v>
      </c>
    </row>
    <row r="52" spans="1:7">
      <c r="A52" s="2983" t="s">
        <v>296</v>
      </c>
      <c r="B52" s="2972" t="s">
        <v>2930</v>
      </c>
      <c r="C52" s="2973">
        <v>7.3999999999999996E-2</v>
      </c>
      <c r="D52" s="2973">
        <v>9.6000000000000002E-2</v>
      </c>
      <c r="E52" s="2973">
        <v>0.05</v>
      </c>
      <c r="F52" s="2984"/>
      <c r="G52" s="2974">
        <v>9.8000000000000004E-2</v>
      </c>
    </row>
    <row r="53" spans="1:7">
      <c r="A53" s="2983" t="s">
        <v>296</v>
      </c>
      <c r="B53" s="2972" t="s">
        <v>2935</v>
      </c>
      <c r="C53" s="2973">
        <v>8.5999999999999993E-2</v>
      </c>
      <c r="D53" s="2984"/>
      <c r="E53" s="2973">
        <v>9.1999999999999998E-2</v>
      </c>
      <c r="F53" s="2984"/>
      <c r="G53" s="2985"/>
    </row>
    <row r="54" spans="1:7" ht="14.25" thickBot="1">
      <c r="A54" s="2986" t="s">
        <v>296</v>
      </c>
      <c r="B54" s="2976" t="s">
        <v>2938</v>
      </c>
      <c r="C54" s="2977">
        <v>9.6000000000000002E-2</v>
      </c>
      <c r="D54" s="2978"/>
      <c r="E54" s="2987"/>
      <c r="F54" s="2978"/>
      <c r="G54" s="2988"/>
    </row>
    <row r="55" spans="1:7">
      <c r="A55" s="2982" t="s">
        <v>110</v>
      </c>
      <c r="B55" s="2968" t="s">
        <v>2855</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2936</v>
      </c>
      <c r="C78" s="2973">
        <v>0.1</v>
      </c>
      <c r="D78" s="2973">
        <v>8.5000000000000006E-2</v>
      </c>
      <c r="E78" s="2973">
        <v>9.6000000000000002E-2</v>
      </c>
      <c r="F78" s="2984"/>
      <c r="G78" s="2974">
        <v>9.6000000000000002E-2</v>
      </c>
    </row>
    <row r="79" spans="1:7">
      <c r="A79" s="2983" t="s">
        <v>110</v>
      </c>
      <c r="B79" s="2972" t="s">
        <v>2939</v>
      </c>
      <c r="C79" s="2973">
        <v>0.05</v>
      </c>
      <c r="D79" s="2973">
        <v>9.6000000000000002E-2</v>
      </c>
      <c r="E79" s="2973">
        <v>9.5000000000000001E-2</v>
      </c>
      <c r="F79" s="2984"/>
      <c r="G79" s="2974">
        <v>9.8000000000000004E-2</v>
      </c>
    </row>
    <row r="80" spans="1:7">
      <c r="A80" s="2983" t="s">
        <v>110</v>
      </c>
      <c r="B80" s="2972" t="s">
        <v>2943</v>
      </c>
      <c r="C80" s="2973">
        <v>8.5999999999999993E-2</v>
      </c>
      <c r="D80" s="2989"/>
      <c r="E80" s="2973">
        <v>0.1</v>
      </c>
      <c r="F80" s="2984"/>
      <c r="G80" s="2985"/>
    </row>
    <row r="81" spans="1:7">
      <c r="A81" s="2983" t="s">
        <v>110</v>
      </c>
      <c r="B81" s="2972" t="s">
        <v>2948</v>
      </c>
      <c r="C81" s="2973">
        <v>9.6000000000000002E-2</v>
      </c>
      <c r="D81" s="2984"/>
      <c r="E81" s="2973">
        <v>9.8000000000000004E-2</v>
      </c>
      <c r="F81" s="2984"/>
      <c r="G81" s="2985"/>
    </row>
    <row r="82" spans="1:7">
      <c r="A82" s="2983" t="s">
        <v>110</v>
      </c>
      <c r="B82" s="2972" t="s">
        <v>2955</v>
      </c>
      <c r="C82" s="2989"/>
      <c r="D82" s="2984"/>
      <c r="E82" s="2973">
        <v>7.6999999999999999E-2</v>
      </c>
      <c r="F82" s="2984"/>
      <c r="G82" s="2985"/>
    </row>
    <row r="83" spans="1:7">
      <c r="A83" s="2983" t="s">
        <v>110</v>
      </c>
      <c r="B83" s="2972" t="s">
        <v>2961</v>
      </c>
      <c r="C83" s="2984"/>
      <c r="D83" s="2984"/>
      <c r="E83" s="2984"/>
      <c r="F83" s="2973">
        <v>0.1</v>
      </c>
      <c r="G83" s="2990"/>
    </row>
    <row r="84" spans="1:7">
      <c r="A84" s="2983" t="s">
        <v>110</v>
      </c>
      <c r="B84" s="2972" t="s">
        <v>2968</v>
      </c>
      <c r="C84" s="2984"/>
      <c r="D84" s="2984"/>
      <c r="E84" s="2984"/>
      <c r="F84" s="2973">
        <v>0.1</v>
      </c>
      <c r="G84" s="2990"/>
    </row>
    <row r="85" spans="1:7">
      <c r="A85" s="2983" t="s">
        <v>110</v>
      </c>
      <c r="B85" s="2972" t="s">
        <v>2975</v>
      </c>
      <c r="C85" s="2984"/>
      <c r="D85" s="2984"/>
      <c r="E85" s="2984"/>
      <c r="F85" s="2973">
        <v>0.1</v>
      </c>
      <c r="G85" s="2990"/>
    </row>
    <row r="86" spans="1:7" ht="14.25" thickBot="1">
      <c r="A86" s="2986" t="s">
        <v>110</v>
      </c>
      <c r="B86" s="2976" t="s">
        <v>2980</v>
      </c>
      <c r="C86" s="2977">
        <v>9.8000000000000004E-2</v>
      </c>
      <c r="D86" s="2977">
        <v>9.8000000000000004E-2</v>
      </c>
      <c r="E86" s="2977">
        <v>9.6000000000000002E-2</v>
      </c>
      <c r="F86" s="2987"/>
      <c r="G86" s="2979">
        <v>0.1</v>
      </c>
    </row>
    <row r="87" spans="1:7">
      <c r="A87" s="2982" t="s">
        <v>303</v>
      </c>
      <c r="B87" s="2968" t="s">
        <v>2856</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2949</v>
      </c>
      <c r="C113" s="2973">
        <v>0.1</v>
      </c>
      <c r="D113" s="2973">
        <v>0.1</v>
      </c>
      <c r="E113" s="2984"/>
      <c r="F113" s="2984"/>
      <c r="G113" s="2974">
        <v>0.1</v>
      </c>
    </row>
    <row r="114" spans="1:7">
      <c r="A114" s="2983" t="s">
        <v>303</v>
      </c>
      <c r="B114" s="2972" t="s">
        <v>2956</v>
      </c>
      <c r="C114" s="2973">
        <v>9.7000000000000003E-2</v>
      </c>
      <c r="D114" s="2973">
        <v>9.7000000000000003E-2</v>
      </c>
      <c r="E114" s="2984"/>
      <c r="F114" s="2984"/>
      <c r="G114" s="2974">
        <v>9.9000000000000005E-2</v>
      </c>
    </row>
    <row r="115" spans="1:7">
      <c r="A115" s="2983" t="s">
        <v>303</v>
      </c>
      <c r="B115" s="2972" t="s">
        <v>2962</v>
      </c>
      <c r="C115" s="2973">
        <v>0.1</v>
      </c>
      <c r="D115" s="2973">
        <v>0.1</v>
      </c>
      <c r="E115" s="2984"/>
      <c r="F115" s="2984"/>
      <c r="G115" s="2974">
        <v>0.1</v>
      </c>
    </row>
    <row r="116" spans="1:7">
      <c r="A116" s="2983" t="s">
        <v>303</v>
      </c>
      <c r="B116" s="2972" t="s">
        <v>2969</v>
      </c>
      <c r="C116" s="2973">
        <v>0.1</v>
      </c>
      <c r="D116" s="2973">
        <v>0.1</v>
      </c>
      <c r="E116" s="2984"/>
      <c r="F116" s="2984"/>
      <c r="G116" s="2974">
        <v>0.1</v>
      </c>
    </row>
    <row r="117" spans="1:7">
      <c r="A117" s="2983" t="s">
        <v>303</v>
      </c>
      <c r="B117" s="2972" t="s">
        <v>2976</v>
      </c>
      <c r="C117" s="2973">
        <v>9.7000000000000003E-2</v>
      </c>
      <c r="D117" s="2973">
        <v>9.7000000000000003E-2</v>
      </c>
      <c r="E117" s="2984"/>
      <c r="F117" s="2984"/>
      <c r="G117" s="2974">
        <v>9.7000000000000003E-2</v>
      </c>
    </row>
    <row r="118" spans="1:7">
      <c r="A118" s="2983" t="s">
        <v>303</v>
      </c>
      <c r="B118" s="2972" t="s">
        <v>2981</v>
      </c>
      <c r="C118" s="2973">
        <v>0.1</v>
      </c>
      <c r="D118" s="2973">
        <v>0.1</v>
      </c>
      <c r="E118" s="2984"/>
      <c r="F118" s="2984"/>
      <c r="G118" s="2974">
        <v>0.1</v>
      </c>
    </row>
    <row r="119" spans="1:7">
      <c r="A119" s="2983" t="s">
        <v>303</v>
      </c>
      <c r="B119" s="2972" t="s">
        <v>2985</v>
      </c>
      <c r="C119" s="2973">
        <v>5.0999999999999997E-2</v>
      </c>
      <c r="D119" s="2973">
        <v>5.1999999999999998E-2</v>
      </c>
      <c r="E119" s="2984"/>
      <c r="F119" s="2989"/>
      <c r="G119" s="2974">
        <v>0.06</v>
      </c>
    </row>
    <row r="120" spans="1:7">
      <c r="A120" s="2983" t="s">
        <v>303</v>
      </c>
      <c r="B120" s="2972" t="s">
        <v>2989</v>
      </c>
      <c r="C120" s="2984"/>
      <c r="D120" s="2984"/>
      <c r="E120" s="2984"/>
      <c r="F120" s="2973">
        <v>0.1</v>
      </c>
      <c r="G120" s="2990"/>
    </row>
    <row r="121" spans="1:7">
      <c r="A121" s="2983" t="s">
        <v>303</v>
      </c>
      <c r="B121" s="2972" t="s">
        <v>2994</v>
      </c>
      <c r="C121" s="2984"/>
      <c r="D121" s="2984"/>
      <c r="E121" s="2984"/>
      <c r="F121" s="2973">
        <v>0.1</v>
      </c>
      <c r="G121" s="2990"/>
    </row>
    <row r="122" spans="1:7">
      <c r="A122" s="2983" t="s">
        <v>303</v>
      </c>
      <c r="B122" s="2972" t="s">
        <v>2999</v>
      </c>
      <c r="C122" s="2973">
        <v>0.1</v>
      </c>
      <c r="D122" s="2973">
        <v>0.1</v>
      </c>
      <c r="E122" s="2973">
        <v>9.8000000000000004E-2</v>
      </c>
      <c r="F122" s="2973">
        <v>0.1</v>
      </c>
      <c r="G122" s="2974">
        <v>0.1</v>
      </c>
    </row>
    <row r="123" spans="1:7">
      <c r="A123" s="2983" t="s">
        <v>303</v>
      </c>
      <c r="B123" s="2972" t="s">
        <v>3004</v>
      </c>
      <c r="C123" s="2973">
        <v>0.1</v>
      </c>
      <c r="D123" s="2973">
        <v>0.1</v>
      </c>
      <c r="E123" s="2973">
        <v>9.8000000000000004E-2</v>
      </c>
      <c r="F123" s="2973">
        <v>0.1</v>
      </c>
      <c r="G123" s="2974">
        <v>0.1</v>
      </c>
    </row>
    <row r="124" spans="1:7">
      <c r="A124" s="2983" t="s">
        <v>303</v>
      </c>
      <c r="B124" s="2972" t="s">
        <v>3009</v>
      </c>
      <c r="C124" s="2973">
        <v>0.1</v>
      </c>
      <c r="D124" s="2973">
        <v>0.1</v>
      </c>
      <c r="E124" s="2973">
        <v>9.8000000000000004E-2</v>
      </c>
      <c r="F124" s="2989"/>
      <c r="G124" s="2974">
        <v>0.1</v>
      </c>
    </row>
    <row r="125" spans="1:7">
      <c r="A125" s="2983" t="s">
        <v>303</v>
      </c>
      <c r="B125" s="2972" t="s">
        <v>3014</v>
      </c>
      <c r="C125" s="2973">
        <v>9.8000000000000004E-2</v>
      </c>
      <c r="D125" s="2973">
        <v>9.8000000000000004E-2</v>
      </c>
      <c r="E125" s="2973">
        <v>9.6000000000000002E-2</v>
      </c>
      <c r="F125" s="2989"/>
      <c r="G125" s="2974">
        <v>0.1</v>
      </c>
    </row>
    <row r="126" spans="1:7" ht="14.25" thickBot="1">
      <c r="A126" s="2986" t="s">
        <v>303</v>
      </c>
      <c r="B126" s="2976" t="s">
        <v>3180</v>
      </c>
      <c r="C126" s="2977">
        <v>0.1</v>
      </c>
      <c r="D126" s="2977">
        <v>0.1</v>
      </c>
      <c r="E126" s="2977">
        <v>9.8000000000000004E-2</v>
      </c>
      <c r="F126" s="2977">
        <v>0.1</v>
      </c>
      <c r="G126" s="2979">
        <v>0.1</v>
      </c>
    </row>
    <row r="127" spans="1:7">
      <c r="A127" s="2982" t="s">
        <v>29</v>
      </c>
      <c r="B127" s="2968" t="s">
        <v>2857</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2927</v>
      </c>
      <c r="C148" s="2973">
        <v>0.13</v>
      </c>
      <c r="D148" s="2973">
        <v>0.13</v>
      </c>
      <c r="E148" s="2973">
        <v>0.13</v>
      </c>
      <c r="F148" s="2984"/>
      <c r="G148" s="2974">
        <v>0.13</v>
      </c>
    </row>
    <row r="149" spans="1:7">
      <c r="A149" s="2983" t="s">
        <v>29</v>
      </c>
      <c r="B149" s="2972" t="s">
        <v>2931</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2950</v>
      </c>
      <c r="C153" s="2973">
        <v>0.13</v>
      </c>
      <c r="D153" s="2973">
        <v>0.13</v>
      </c>
      <c r="E153" s="2973">
        <v>0.13</v>
      </c>
      <c r="F153" s="2973">
        <v>0.13</v>
      </c>
      <c r="G153" s="2974">
        <v>0.13</v>
      </c>
    </row>
    <row r="154" spans="1:7">
      <c r="A154" s="2983" t="s">
        <v>29</v>
      </c>
      <c r="B154" s="2972" t="s">
        <v>2957</v>
      </c>
      <c r="C154" s="2973">
        <v>0.121</v>
      </c>
      <c r="D154" s="2973">
        <v>0.121</v>
      </c>
      <c r="E154" s="2973">
        <v>0.105</v>
      </c>
      <c r="F154" s="2973">
        <v>0.121</v>
      </c>
      <c r="G154" s="2974">
        <v>0.123</v>
      </c>
    </row>
    <row r="155" spans="1:7">
      <c r="A155" s="2983" t="s">
        <v>29</v>
      </c>
      <c r="B155" s="2972" t="s">
        <v>2963</v>
      </c>
      <c r="C155" s="2973">
        <v>0.1</v>
      </c>
      <c r="D155" s="2973">
        <v>0.1</v>
      </c>
      <c r="E155" s="2973">
        <v>0.1</v>
      </c>
      <c r="F155" s="2973">
        <v>0.1</v>
      </c>
      <c r="G155" s="2974">
        <v>0.1</v>
      </c>
    </row>
    <row r="156" spans="1:7">
      <c r="A156" s="2983" t="s">
        <v>29</v>
      </c>
      <c r="B156" s="2972" t="s">
        <v>2970</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2990</v>
      </c>
      <c r="C160" s="2973">
        <v>0.13</v>
      </c>
      <c r="D160" s="2973">
        <v>0.13</v>
      </c>
      <c r="E160" s="2973">
        <v>0.124</v>
      </c>
      <c r="F160" s="2973">
        <v>0.126</v>
      </c>
      <c r="G160" s="2974">
        <v>0.13</v>
      </c>
    </row>
    <row r="161" spans="1:7">
      <c r="A161" s="2983" t="s">
        <v>29</v>
      </c>
      <c r="B161" s="2972" t="s">
        <v>2995</v>
      </c>
      <c r="C161" s="2973">
        <v>0.13</v>
      </c>
      <c r="D161" s="2973">
        <v>0.13</v>
      </c>
      <c r="E161" s="2973">
        <v>0.124</v>
      </c>
      <c r="F161" s="2973">
        <v>0.127</v>
      </c>
      <c r="G161" s="2974">
        <v>0.13</v>
      </c>
    </row>
    <row r="162" spans="1:7">
      <c r="A162" s="2983" t="s">
        <v>29</v>
      </c>
      <c r="B162" s="2972" t="s">
        <v>3000</v>
      </c>
      <c r="C162" s="2973">
        <v>0.1</v>
      </c>
      <c r="D162" s="2973">
        <v>0.1</v>
      </c>
      <c r="E162" s="2973">
        <v>0.1</v>
      </c>
      <c r="F162" s="2973">
        <v>0.121</v>
      </c>
      <c r="G162" s="2974">
        <v>0.105</v>
      </c>
    </row>
    <row r="163" spans="1:7">
      <c r="A163" s="2983" t="s">
        <v>29</v>
      </c>
      <c r="B163" s="2972" t="s">
        <v>3005</v>
      </c>
      <c r="C163" s="2973">
        <v>0.1</v>
      </c>
      <c r="D163" s="2973">
        <v>0.1</v>
      </c>
      <c r="E163" s="2973">
        <v>0.1</v>
      </c>
      <c r="F163" s="2973">
        <v>0.1</v>
      </c>
      <c r="G163" s="2974">
        <v>0.1</v>
      </c>
    </row>
    <row r="164" spans="1:7">
      <c r="A164" s="2983" t="s">
        <v>29</v>
      </c>
      <c r="B164" s="2972" t="s">
        <v>3010</v>
      </c>
      <c r="C164" s="2989"/>
      <c r="D164" s="2989"/>
      <c r="E164" s="2989"/>
      <c r="F164" s="2973">
        <v>0.1</v>
      </c>
      <c r="G164" s="2985"/>
    </row>
    <row r="165" spans="1:7">
      <c r="A165" s="2983" t="s">
        <v>29</v>
      </c>
      <c r="B165" s="2972" t="s">
        <v>3181</v>
      </c>
      <c r="C165" s="2973">
        <v>0.126</v>
      </c>
      <c r="D165" s="2973">
        <v>0.126</v>
      </c>
      <c r="E165" s="2973">
        <v>0.11899999999999999</v>
      </c>
      <c r="F165" s="2973">
        <v>0.13</v>
      </c>
      <c r="G165" s="2974">
        <v>0.128</v>
      </c>
    </row>
    <row r="166" spans="1:7">
      <c r="A166" s="2983" t="s">
        <v>29</v>
      </c>
      <c r="B166" s="2972" t="s">
        <v>3020</v>
      </c>
      <c r="C166" s="2973">
        <v>0.129</v>
      </c>
      <c r="D166" s="2973">
        <v>0.129</v>
      </c>
      <c r="E166" s="2973">
        <v>0.123</v>
      </c>
      <c r="F166" s="2973">
        <v>0.128</v>
      </c>
      <c r="G166" s="2974">
        <v>0.13</v>
      </c>
    </row>
    <row r="167" spans="1:7">
      <c r="A167" s="2983" t="s">
        <v>29</v>
      </c>
      <c r="B167" s="2972" t="s">
        <v>3024</v>
      </c>
      <c r="C167" s="2973">
        <v>0.125</v>
      </c>
      <c r="D167" s="2973">
        <v>0.125</v>
      </c>
      <c r="E167" s="2973">
        <v>0.11700000000000001</v>
      </c>
      <c r="F167" s="2973">
        <v>0.13</v>
      </c>
      <c r="G167" s="2974">
        <v>0.126</v>
      </c>
    </row>
    <row r="168" spans="1:7">
      <c r="A168" s="2983" t="s">
        <v>29</v>
      </c>
      <c r="B168" s="2972" t="s">
        <v>3029</v>
      </c>
      <c r="C168" s="2973">
        <v>0.128</v>
      </c>
      <c r="D168" s="2973">
        <v>0.128</v>
      </c>
      <c r="E168" s="2973">
        <v>0.123</v>
      </c>
      <c r="F168" s="2984"/>
      <c r="G168" s="2974">
        <v>0.13</v>
      </c>
    </row>
    <row r="169" spans="1:7">
      <c r="A169" s="2983" t="s">
        <v>29</v>
      </c>
      <c r="B169" s="2972" t="s">
        <v>3182</v>
      </c>
      <c r="C169" s="2989"/>
      <c r="D169" s="2989"/>
      <c r="E169" s="2989"/>
      <c r="F169" s="2973">
        <v>0.05</v>
      </c>
      <c r="G169" s="2985"/>
    </row>
    <row r="170" spans="1:7">
      <c r="A170" s="2983" t="s">
        <v>29</v>
      </c>
      <c r="B170" s="2972" t="s">
        <v>3183</v>
      </c>
      <c r="C170" s="2989"/>
      <c r="D170" s="2989"/>
      <c r="E170" s="2989"/>
      <c r="F170" s="2973">
        <v>0.05</v>
      </c>
      <c r="G170" s="2985"/>
    </row>
    <row r="171" spans="1:7">
      <c r="A171" s="2983" t="s">
        <v>29</v>
      </c>
      <c r="B171" s="2972" t="s">
        <v>3184</v>
      </c>
      <c r="C171" s="2989"/>
      <c r="D171" s="2989"/>
      <c r="E171" s="2989"/>
      <c r="F171" s="2973">
        <v>0.05</v>
      </c>
      <c r="G171" s="2990"/>
    </row>
    <row r="172" spans="1:7">
      <c r="A172" s="2983" t="s">
        <v>29</v>
      </c>
      <c r="B172" s="2972" t="s">
        <v>3185</v>
      </c>
      <c r="C172" s="2989"/>
      <c r="D172" s="2989"/>
      <c r="E172" s="2989"/>
      <c r="F172" s="2973">
        <v>0.05</v>
      </c>
      <c r="G172" s="2990"/>
    </row>
    <row r="173" spans="1:7">
      <c r="A173" s="2983" t="s">
        <v>29</v>
      </c>
      <c r="B173" s="2972" t="s">
        <v>3186</v>
      </c>
      <c r="C173" s="2989"/>
      <c r="D173" s="2989"/>
      <c r="E173" s="2989"/>
      <c r="F173" s="2973">
        <v>0.05</v>
      </c>
      <c r="G173" s="2985"/>
    </row>
    <row r="174" spans="1:7">
      <c r="A174" s="2983" t="s">
        <v>29</v>
      </c>
      <c r="B174" s="2972" t="s">
        <v>3187</v>
      </c>
      <c r="C174" s="2989"/>
      <c r="D174" s="2989"/>
      <c r="E174" s="2989"/>
      <c r="F174" s="2973">
        <v>0.05</v>
      </c>
      <c r="G174" s="2985"/>
    </row>
    <row r="175" spans="1:7">
      <c r="A175" s="2983" t="s">
        <v>29</v>
      </c>
      <c r="B175" s="2972" t="s">
        <v>3188</v>
      </c>
      <c r="C175" s="2989"/>
      <c r="D175" s="2989"/>
      <c r="E175" s="2989"/>
      <c r="F175" s="2973">
        <v>0.05</v>
      </c>
      <c r="G175" s="2985"/>
    </row>
    <row r="176" spans="1:7">
      <c r="A176" s="2983" t="s">
        <v>29</v>
      </c>
      <c r="B176" s="2972" t="s">
        <v>3189</v>
      </c>
      <c r="C176" s="2989"/>
      <c r="D176" s="2989"/>
      <c r="E176" s="2989"/>
      <c r="F176" s="2973">
        <v>0.05</v>
      </c>
      <c r="G176" s="2985"/>
    </row>
    <row r="177" spans="1:7">
      <c r="A177" s="2983" t="s">
        <v>29</v>
      </c>
      <c r="B177" s="2972" t="s">
        <v>3190</v>
      </c>
      <c r="C177" s="2984"/>
      <c r="D177" s="2984"/>
      <c r="E177" s="2984"/>
      <c r="F177" s="2973">
        <v>0.05</v>
      </c>
      <c r="G177" s="2990"/>
    </row>
    <row r="178" spans="1:7">
      <c r="A178" s="2983" t="s">
        <v>29</v>
      </c>
      <c r="B178" s="2972" t="s">
        <v>3191</v>
      </c>
      <c r="C178" s="2984"/>
      <c r="D178" s="2984"/>
      <c r="E178" s="2984"/>
      <c r="F178" s="2973">
        <v>0.05</v>
      </c>
      <c r="G178" s="2990"/>
    </row>
    <row r="179" spans="1:7">
      <c r="A179" s="2983" t="s">
        <v>29</v>
      </c>
      <c r="B179" s="2972" t="s">
        <v>3192</v>
      </c>
      <c r="C179" s="2984"/>
      <c r="D179" s="2984"/>
      <c r="E179" s="2984"/>
      <c r="F179" s="2973">
        <v>0.05</v>
      </c>
      <c r="G179" s="2990"/>
    </row>
    <row r="180" spans="1:7">
      <c r="A180" s="2983" t="s">
        <v>29</v>
      </c>
      <c r="B180" s="2972" t="s">
        <v>3193</v>
      </c>
      <c r="C180" s="2984"/>
      <c r="D180" s="2984"/>
      <c r="E180" s="2984"/>
      <c r="F180" s="2973">
        <v>0.05</v>
      </c>
      <c r="G180" s="2990"/>
    </row>
    <row r="181" spans="1:7">
      <c r="A181" s="2983" t="s">
        <v>29</v>
      </c>
      <c r="B181" s="2972" t="s">
        <v>3194</v>
      </c>
      <c r="C181" s="2984"/>
      <c r="D181" s="2984"/>
      <c r="E181" s="2984"/>
      <c r="F181" s="2973">
        <v>0.05</v>
      </c>
      <c r="G181" s="2990"/>
    </row>
    <row r="182" spans="1:7">
      <c r="A182" s="2983" t="s">
        <v>29</v>
      </c>
      <c r="B182" s="2972" t="s">
        <v>3195</v>
      </c>
      <c r="C182" s="2984"/>
      <c r="D182" s="2984"/>
      <c r="E182" s="2984"/>
      <c r="F182" s="2973">
        <v>0.05</v>
      </c>
      <c r="G182" s="2990"/>
    </row>
    <row r="183" spans="1:7">
      <c r="A183" s="2983" t="s">
        <v>29</v>
      </c>
      <c r="B183" s="2972" t="s">
        <v>3196</v>
      </c>
      <c r="C183" s="2984"/>
      <c r="D183" s="2984"/>
      <c r="E183" s="2984"/>
      <c r="F183" s="2973">
        <v>0.05</v>
      </c>
      <c r="G183" s="2990"/>
    </row>
    <row r="184" spans="1:7">
      <c r="A184" s="2983" t="s">
        <v>29</v>
      </c>
      <c r="B184" s="2972" t="s">
        <v>3197</v>
      </c>
      <c r="C184" s="2984"/>
      <c r="D184" s="2984"/>
      <c r="E184" s="2984"/>
      <c r="F184" s="2973">
        <v>0.05</v>
      </c>
      <c r="G184" s="2990"/>
    </row>
    <row r="185" spans="1:7">
      <c r="A185" s="2983" t="s">
        <v>29</v>
      </c>
      <c r="B185" s="2972" t="s">
        <v>3198</v>
      </c>
      <c r="C185" s="2984"/>
      <c r="D185" s="2984"/>
      <c r="E185" s="2984"/>
      <c r="F185" s="2973">
        <v>0.05</v>
      </c>
      <c r="G185" s="2990"/>
    </row>
    <row r="186" spans="1:7">
      <c r="A186" s="2983" t="s">
        <v>29</v>
      </c>
      <c r="B186" s="2972" t="s">
        <v>3199</v>
      </c>
      <c r="C186" s="2984"/>
      <c r="D186" s="2984"/>
      <c r="E186" s="2984"/>
      <c r="F186" s="2973">
        <v>0.05</v>
      </c>
      <c r="G186" s="2990"/>
    </row>
    <row r="187" spans="1:7">
      <c r="A187" s="2983" t="s">
        <v>29</v>
      </c>
      <c r="B187" s="2972" t="s">
        <v>3200</v>
      </c>
      <c r="C187" s="2984"/>
      <c r="D187" s="2984"/>
      <c r="E187" s="2984"/>
      <c r="F187" s="2973">
        <v>0.05</v>
      </c>
      <c r="G187" s="2990"/>
    </row>
    <row r="188" spans="1:7">
      <c r="A188" s="2983" t="s">
        <v>29</v>
      </c>
      <c r="B188" s="2972" t="s">
        <v>3201</v>
      </c>
      <c r="C188" s="2984"/>
      <c r="D188" s="2984"/>
      <c r="E188" s="2984"/>
      <c r="F188" s="2973">
        <v>0.05</v>
      </c>
      <c r="G188" s="2990"/>
    </row>
    <row r="189" spans="1:7" ht="14.25" thickBot="1">
      <c r="A189" s="2986" t="s">
        <v>29</v>
      </c>
      <c r="B189" s="2976" t="s">
        <v>3202</v>
      </c>
      <c r="C189" s="2978"/>
      <c r="D189" s="2978"/>
      <c r="E189" s="2978"/>
      <c r="F189" s="2977">
        <v>0.05</v>
      </c>
      <c r="G189" s="2991"/>
    </row>
    <row r="190" spans="1:7">
      <c r="A190" s="2982" t="s">
        <v>304</v>
      </c>
      <c r="B190" s="2968" t="s">
        <v>2858</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2894</v>
      </c>
      <c r="C199" s="2973">
        <v>0.13</v>
      </c>
      <c r="D199" s="2973">
        <v>0.13</v>
      </c>
      <c r="E199" s="2973">
        <v>0.13</v>
      </c>
      <c r="F199" s="2973">
        <v>0.13</v>
      </c>
      <c r="G199" s="2974">
        <v>0.13</v>
      </c>
    </row>
    <row r="200" spans="1:7">
      <c r="A200" s="2983" t="s">
        <v>304</v>
      </c>
      <c r="B200" s="2972" t="s">
        <v>2897</v>
      </c>
      <c r="C200" s="2989"/>
      <c r="D200" s="2989"/>
      <c r="E200" s="2989"/>
      <c r="F200" s="2973">
        <v>0.13</v>
      </c>
      <c r="G200" s="2985"/>
    </row>
    <row r="201" spans="1:7">
      <c r="A201" s="2983" t="s">
        <v>304</v>
      </c>
      <c r="B201" s="2972" t="s">
        <v>2902</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2905</v>
      </c>
      <c r="C203" s="2973">
        <v>0.129</v>
      </c>
      <c r="D203" s="2973">
        <v>0.129</v>
      </c>
      <c r="E203" s="2973">
        <v>0.13</v>
      </c>
      <c r="F203" s="2973">
        <v>0.13</v>
      </c>
      <c r="G203" s="2974">
        <v>0.13</v>
      </c>
    </row>
    <row r="204" spans="1:7">
      <c r="A204" s="2983" t="s">
        <v>304</v>
      </c>
      <c r="B204" s="2972" t="s">
        <v>2908</v>
      </c>
      <c r="C204" s="2973">
        <v>0.129</v>
      </c>
      <c r="D204" s="2973">
        <v>0.129</v>
      </c>
      <c r="E204" s="2973">
        <v>0.123</v>
      </c>
      <c r="F204" s="2973">
        <v>0.13</v>
      </c>
      <c r="G204" s="2974">
        <v>0.13</v>
      </c>
    </row>
    <row r="205" spans="1:7">
      <c r="A205" s="2983" t="s">
        <v>304</v>
      </c>
      <c r="B205" s="2972" t="s">
        <v>2910</v>
      </c>
      <c r="C205" s="2973">
        <v>0.13</v>
      </c>
      <c r="D205" s="2973">
        <v>0.13</v>
      </c>
      <c r="E205" s="2973">
        <v>0.13</v>
      </c>
      <c r="F205" s="2973">
        <v>0.13</v>
      </c>
      <c r="G205" s="2974">
        <v>0.13</v>
      </c>
    </row>
    <row r="206" spans="1:7">
      <c r="A206" s="2983" t="s">
        <v>304</v>
      </c>
      <c r="B206" s="2972" t="s">
        <v>2913</v>
      </c>
      <c r="C206" s="2973">
        <v>0.13</v>
      </c>
      <c r="D206" s="2973">
        <v>0.13</v>
      </c>
      <c r="E206" s="2973">
        <v>0.13</v>
      </c>
      <c r="F206" s="2973">
        <v>0.128</v>
      </c>
      <c r="G206" s="2974">
        <v>0.13</v>
      </c>
    </row>
    <row r="207" spans="1:7">
      <c r="A207" s="2983" t="s">
        <v>304</v>
      </c>
      <c r="B207" s="2972" t="s">
        <v>2915</v>
      </c>
      <c r="C207" s="2973">
        <v>0.13</v>
      </c>
      <c r="D207" s="2973">
        <v>0.13</v>
      </c>
      <c r="E207" s="2973">
        <v>0.13</v>
      </c>
      <c r="F207" s="2973">
        <v>0.13</v>
      </c>
      <c r="G207" s="2974">
        <v>0.13</v>
      </c>
    </row>
    <row r="208" spans="1:7">
      <c r="A208" s="2983" t="s">
        <v>304</v>
      </c>
      <c r="B208" s="2972" t="s">
        <v>2918</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2925</v>
      </c>
      <c r="C210" s="2973">
        <v>0.121</v>
      </c>
      <c r="D210" s="2973">
        <v>0.121</v>
      </c>
      <c r="E210" s="2973">
        <v>0.125</v>
      </c>
      <c r="F210" s="2973">
        <v>0.13</v>
      </c>
      <c r="G210" s="2974">
        <v>0.123</v>
      </c>
    </row>
    <row r="211" spans="1:7">
      <c r="A211" s="2983" t="s">
        <v>304</v>
      </c>
      <c r="B211" s="2972" t="s">
        <v>2928</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2940</v>
      </c>
      <c r="C214" s="2973">
        <v>0.128</v>
      </c>
      <c r="D214" s="2973">
        <v>0.128</v>
      </c>
      <c r="E214" s="2973">
        <v>0.13</v>
      </c>
      <c r="F214" s="2973">
        <v>0.13</v>
      </c>
      <c r="G214" s="2974">
        <v>0.13</v>
      </c>
    </row>
    <row r="215" spans="1:7">
      <c r="A215" s="2983" t="s">
        <v>304</v>
      </c>
      <c r="B215" s="2972" t="s">
        <v>2944</v>
      </c>
      <c r="C215" s="2973">
        <v>0.13</v>
      </c>
      <c r="D215" s="2973">
        <v>0.13</v>
      </c>
      <c r="E215" s="2973">
        <v>0.13</v>
      </c>
      <c r="F215" s="2973">
        <v>0.129</v>
      </c>
      <c r="G215" s="2974">
        <v>0.13</v>
      </c>
    </row>
    <row r="216" spans="1:7">
      <c r="A216" s="2983" t="s">
        <v>304</v>
      </c>
      <c r="B216" s="2972" t="s">
        <v>2951</v>
      </c>
      <c r="C216" s="2973">
        <v>0.13</v>
      </c>
      <c r="D216" s="2973">
        <v>0.13</v>
      </c>
      <c r="E216" s="2973">
        <v>0.13</v>
      </c>
      <c r="F216" s="2973">
        <v>0.13</v>
      </c>
      <c r="G216" s="2974">
        <v>0.13</v>
      </c>
    </row>
    <row r="217" spans="1:7">
      <c r="A217" s="2983" t="s">
        <v>304</v>
      </c>
      <c r="B217" s="2972" t="s">
        <v>2958</v>
      </c>
      <c r="C217" s="2973">
        <v>0.129</v>
      </c>
      <c r="D217" s="2973">
        <v>0.129</v>
      </c>
      <c r="E217" s="2973">
        <v>0.13</v>
      </c>
      <c r="F217" s="2973">
        <v>0.13</v>
      </c>
      <c r="G217" s="2974">
        <v>0.13</v>
      </c>
    </row>
    <row r="218" spans="1:7">
      <c r="A218" s="2983" t="s">
        <v>304</v>
      </c>
      <c r="B218" s="2972" t="s">
        <v>2964</v>
      </c>
      <c r="C218" s="2984"/>
      <c r="D218" s="2984"/>
      <c r="E218" s="2984"/>
      <c r="F218" s="2973">
        <v>0.05</v>
      </c>
      <c r="G218" s="2990"/>
    </row>
    <row r="219" spans="1:7">
      <c r="A219" s="2983" t="s">
        <v>304</v>
      </c>
      <c r="B219" s="2972" t="s">
        <v>2971</v>
      </c>
      <c r="C219" s="2984"/>
      <c r="D219" s="2984"/>
      <c r="E219" s="2984"/>
      <c r="F219" s="2973">
        <v>0.05</v>
      </c>
      <c r="G219" s="2990"/>
    </row>
    <row r="220" spans="1:7">
      <c r="A220" s="2983" t="s">
        <v>304</v>
      </c>
      <c r="B220" s="2972" t="s">
        <v>2977</v>
      </c>
      <c r="C220" s="2984"/>
      <c r="D220" s="2984"/>
      <c r="E220" s="2984"/>
      <c r="F220" s="2973">
        <v>0.05</v>
      </c>
      <c r="G220" s="2990"/>
    </row>
    <row r="221" spans="1:7">
      <c r="A221" s="2983" t="s">
        <v>304</v>
      </c>
      <c r="B221" s="2972" t="s">
        <v>2982</v>
      </c>
      <c r="C221" s="2984"/>
      <c r="D221" s="2984"/>
      <c r="E221" s="2984"/>
      <c r="F221" s="2973">
        <v>0.05</v>
      </c>
      <c r="G221" s="2990"/>
    </row>
    <row r="222" spans="1:7">
      <c r="A222" s="2983" t="s">
        <v>304</v>
      </c>
      <c r="B222" s="2972" t="s">
        <v>2986</v>
      </c>
      <c r="C222" s="2984"/>
      <c r="D222" s="2984"/>
      <c r="E222" s="2984"/>
      <c r="F222" s="2973">
        <v>0.05</v>
      </c>
      <c r="G222" s="2990"/>
    </row>
    <row r="223" spans="1:7">
      <c r="A223" s="2983" t="s">
        <v>304</v>
      </c>
      <c r="B223" s="2972" t="s">
        <v>2991</v>
      </c>
      <c r="C223" s="2984"/>
      <c r="D223" s="2984"/>
      <c r="E223" s="2984"/>
      <c r="F223" s="2973">
        <v>0.05</v>
      </c>
      <c r="G223" s="2990"/>
    </row>
    <row r="224" spans="1:7">
      <c r="A224" s="2983" t="s">
        <v>304</v>
      </c>
      <c r="B224" s="2972" t="s">
        <v>2996</v>
      </c>
      <c r="C224" s="2984"/>
      <c r="D224" s="2984"/>
      <c r="E224" s="2984"/>
      <c r="F224" s="2973">
        <v>0.05</v>
      </c>
      <c r="G224" s="2990"/>
    </row>
    <row r="225" spans="1:7">
      <c r="A225" s="2983" t="s">
        <v>304</v>
      </c>
      <c r="B225" s="2972" t="s">
        <v>3001</v>
      </c>
      <c r="C225" s="2984"/>
      <c r="D225" s="2984"/>
      <c r="E225" s="2984"/>
      <c r="F225" s="2973">
        <v>0.05</v>
      </c>
      <c r="G225" s="2990"/>
    </row>
    <row r="226" spans="1:7">
      <c r="A226" s="2983" t="s">
        <v>304</v>
      </c>
      <c r="B226" s="2972" t="s">
        <v>3203</v>
      </c>
      <c r="C226" s="2984"/>
      <c r="D226" s="2984"/>
      <c r="E226" s="2984"/>
      <c r="F226" s="2973">
        <v>0.05</v>
      </c>
      <c r="G226" s="2990"/>
    </row>
    <row r="227" spans="1:7">
      <c r="A227" s="2983" t="s">
        <v>304</v>
      </c>
      <c r="B227" s="2972" t="s">
        <v>3204</v>
      </c>
      <c r="C227" s="2984"/>
      <c r="D227" s="2984"/>
      <c r="E227" s="2984"/>
      <c r="F227" s="2973">
        <v>0.05</v>
      </c>
      <c r="G227" s="2990"/>
    </row>
    <row r="228" spans="1:7">
      <c r="A228" s="2983" t="s">
        <v>304</v>
      </c>
      <c r="B228" s="2972" t="s">
        <v>3205</v>
      </c>
      <c r="C228" s="2984"/>
      <c r="D228" s="2984"/>
      <c r="E228" s="2984"/>
      <c r="F228" s="2973">
        <v>0.05</v>
      </c>
      <c r="G228" s="2990"/>
    </row>
    <row r="229" spans="1:7">
      <c r="A229" s="2983" t="s">
        <v>304</v>
      </c>
      <c r="B229" s="2972" t="s">
        <v>3206</v>
      </c>
      <c r="C229" s="2984"/>
      <c r="D229" s="2984"/>
      <c r="E229" s="2984"/>
      <c r="F229" s="2973">
        <v>0.05</v>
      </c>
      <c r="G229" s="2990"/>
    </row>
    <row r="230" spans="1:7">
      <c r="A230" s="2983" t="s">
        <v>304</v>
      </c>
      <c r="B230" s="2972" t="s">
        <v>3207</v>
      </c>
      <c r="C230" s="2984"/>
      <c r="D230" s="2984"/>
      <c r="E230" s="2984"/>
      <c r="F230" s="2973">
        <v>0.05</v>
      </c>
      <c r="G230" s="2990"/>
    </row>
    <row r="231" spans="1:7">
      <c r="A231" s="2983" t="s">
        <v>304</v>
      </c>
      <c r="B231" s="2972" t="s">
        <v>3208</v>
      </c>
      <c r="C231" s="2984"/>
      <c r="D231" s="2984"/>
      <c r="E231" s="2984"/>
      <c r="F231" s="2973">
        <v>0.05</v>
      </c>
      <c r="G231" s="2990"/>
    </row>
    <row r="232" spans="1:7">
      <c r="A232" s="2983" t="s">
        <v>304</v>
      </c>
      <c r="B232" s="2972" t="s">
        <v>3209</v>
      </c>
      <c r="C232" s="2984"/>
      <c r="D232" s="2984"/>
      <c r="E232" s="2984"/>
      <c r="F232" s="2973">
        <v>0.05</v>
      </c>
      <c r="G232" s="2990"/>
    </row>
    <row r="233" spans="1:7" ht="14.25" thickBot="1">
      <c r="A233" s="2986" t="s">
        <v>304</v>
      </c>
      <c r="B233" s="2976" t="s">
        <v>3210</v>
      </c>
      <c r="C233" s="2978"/>
      <c r="D233" s="2978"/>
      <c r="E233" s="2978"/>
      <c r="F233" s="2977">
        <v>0.05</v>
      </c>
      <c r="G233" s="2991"/>
    </row>
    <row r="234" spans="1:7">
      <c r="A234" s="2982" t="s">
        <v>305</v>
      </c>
      <c r="B234" s="2968" t="s">
        <v>2859</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2879</v>
      </c>
      <c r="C238" s="2973">
        <v>0.14899999999999999</v>
      </c>
      <c r="D238" s="2973">
        <v>0.14899999999999999</v>
      </c>
      <c r="E238" s="2973">
        <v>0.15</v>
      </c>
      <c r="F238" s="2973">
        <v>0.15</v>
      </c>
      <c r="G238" s="2974">
        <v>0.15</v>
      </c>
    </row>
    <row r="239" spans="1:7">
      <c r="A239" s="2983" t="s">
        <v>305</v>
      </c>
      <c r="B239" s="2972" t="s">
        <v>2883</v>
      </c>
      <c r="C239" s="2973">
        <v>0.15</v>
      </c>
      <c r="D239" s="2973">
        <v>0.15</v>
      </c>
      <c r="E239" s="2973">
        <v>0.15</v>
      </c>
      <c r="F239" s="2973">
        <v>0.15</v>
      </c>
      <c r="G239" s="2974">
        <v>0.15</v>
      </c>
    </row>
    <row r="240" spans="1:7">
      <c r="A240" s="2983" t="s">
        <v>305</v>
      </c>
      <c r="B240" s="2972" t="s">
        <v>2888</v>
      </c>
      <c r="C240" s="2973">
        <v>0.15</v>
      </c>
      <c r="D240" s="2973">
        <v>0.15</v>
      </c>
      <c r="E240" s="2973">
        <v>0.15</v>
      </c>
      <c r="F240" s="2973">
        <v>0.15</v>
      </c>
      <c r="G240" s="2974">
        <v>0.15</v>
      </c>
    </row>
    <row r="241" spans="1:7">
      <c r="A241" s="2983" t="s">
        <v>305</v>
      </c>
      <c r="B241" s="2972" t="s">
        <v>2892</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2898</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2906</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2911</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2919</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2932</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2941</v>
      </c>
      <c r="C258" s="2973">
        <v>0.14299999999999999</v>
      </c>
      <c r="D258" s="2973">
        <v>0.14299999999999999</v>
      </c>
      <c r="E258" s="2973">
        <v>0.15</v>
      </c>
      <c r="F258" s="2973">
        <v>0.14799999999999999</v>
      </c>
      <c r="G258" s="2974">
        <v>0.14599999999999999</v>
      </c>
    </row>
    <row r="259" spans="1:7">
      <c r="A259" s="2983" t="s">
        <v>305</v>
      </c>
      <c r="B259" s="2972" t="s">
        <v>2945</v>
      </c>
      <c r="C259" s="2973">
        <v>0.14399999999999999</v>
      </c>
      <c r="D259" s="2973">
        <v>0.14399999999999999</v>
      </c>
      <c r="E259" s="2973">
        <v>0.14899999999999999</v>
      </c>
      <c r="F259" s="2973">
        <v>0.14699999999999999</v>
      </c>
      <c r="G259" s="2974">
        <v>0.14599999999999999</v>
      </c>
    </row>
    <row r="260" spans="1:7">
      <c r="A260" s="2983" t="s">
        <v>305</v>
      </c>
      <c r="B260" s="2972" t="s">
        <v>2952</v>
      </c>
      <c r="C260" s="2973">
        <v>0.109</v>
      </c>
      <c r="D260" s="2973">
        <v>0.111</v>
      </c>
      <c r="E260" s="2973">
        <v>0.13100000000000001</v>
      </c>
      <c r="F260" s="2973">
        <v>0.126</v>
      </c>
      <c r="G260" s="2974">
        <v>0.11899999999999999</v>
      </c>
    </row>
    <row r="261" spans="1:7">
      <c r="A261" s="2983" t="s">
        <v>305</v>
      </c>
      <c r="B261" s="2972" t="s">
        <v>2959</v>
      </c>
      <c r="C261" s="2973">
        <v>0.1</v>
      </c>
      <c r="D261" s="2973">
        <v>0.1</v>
      </c>
      <c r="E261" s="2973">
        <v>0.11799999999999999</v>
      </c>
      <c r="F261" s="2973">
        <v>0.108</v>
      </c>
      <c r="G261" s="2974">
        <v>0.107</v>
      </c>
    </row>
    <row r="262" spans="1:7">
      <c r="A262" s="2983" t="s">
        <v>305</v>
      </c>
      <c r="B262" s="2972" t="s">
        <v>2965</v>
      </c>
      <c r="C262" s="2973">
        <v>0.1</v>
      </c>
      <c r="D262" s="2973">
        <v>0.1</v>
      </c>
      <c r="E262" s="2973">
        <v>0.1</v>
      </c>
      <c r="F262" s="2973">
        <v>0.14099999999999999</v>
      </c>
      <c r="G262" s="2974">
        <v>0.1</v>
      </c>
    </row>
    <row r="263" spans="1:7">
      <c r="A263" s="2983" t="s">
        <v>305</v>
      </c>
      <c r="B263" s="2972" t="s">
        <v>2972</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2983</v>
      </c>
      <c r="C265" s="2984"/>
      <c r="D265" s="2984"/>
      <c r="E265" s="2984"/>
      <c r="F265" s="2973">
        <v>0.05</v>
      </c>
      <c r="G265" s="2990"/>
    </row>
    <row r="266" spans="1:7">
      <c r="A266" s="2983" t="s">
        <v>305</v>
      </c>
      <c r="B266" s="2972" t="s">
        <v>2987</v>
      </c>
      <c r="C266" s="2984"/>
      <c r="D266" s="2984"/>
      <c r="E266" s="2984"/>
      <c r="F266" s="2973">
        <v>0.05</v>
      </c>
      <c r="G266" s="2990"/>
    </row>
    <row r="267" spans="1:7">
      <c r="A267" s="2983" t="s">
        <v>305</v>
      </c>
      <c r="B267" s="2972" t="s">
        <v>2992</v>
      </c>
      <c r="C267" s="2984"/>
      <c r="D267" s="2984"/>
      <c r="E267" s="2984"/>
      <c r="F267" s="2973">
        <v>0.05</v>
      </c>
      <c r="G267" s="2990"/>
    </row>
    <row r="268" spans="1:7">
      <c r="A268" s="2983" t="s">
        <v>305</v>
      </c>
      <c r="B268" s="2972" t="s">
        <v>2997</v>
      </c>
      <c r="C268" s="2984"/>
      <c r="D268" s="2984"/>
      <c r="E268" s="2984"/>
      <c r="F268" s="2973">
        <v>0.05</v>
      </c>
      <c r="G268" s="2990"/>
    </row>
    <row r="269" spans="1:7">
      <c r="A269" s="2983" t="s">
        <v>305</v>
      </c>
      <c r="B269" s="2972" t="s">
        <v>3002</v>
      </c>
      <c r="C269" s="2984"/>
      <c r="D269" s="2984"/>
      <c r="E269" s="2984"/>
      <c r="F269" s="2973">
        <v>0.05</v>
      </c>
      <c r="G269" s="2990"/>
    </row>
    <row r="270" spans="1:7">
      <c r="A270" s="2983" t="s">
        <v>305</v>
      </c>
      <c r="B270" s="2972" t="s">
        <v>3007</v>
      </c>
      <c r="C270" s="2984"/>
      <c r="D270" s="2984"/>
      <c r="E270" s="2984"/>
      <c r="F270" s="2973">
        <v>0.05</v>
      </c>
      <c r="G270" s="2990"/>
    </row>
    <row r="271" spans="1:7">
      <c r="A271" s="2983" t="s">
        <v>305</v>
      </c>
      <c r="B271" s="2972" t="s">
        <v>3211</v>
      </c>
      <c r="C271" s="2984"/>
      <c r="D271" s="2984"/>
      <c r="E271" s="2984"/>
      <c r="F271" s="2973">
        <v>0.05</v>
      </c>
      <c r="G271" s="2990"/>
    </row>
    <row r="272" spans="1:7">
      <c r="A272" s="2983" t="s">
        <v>305</v>
      </c>
      <c r="B272" s="2972" t="s">
        <v>3212</v>
      </c>
      <c r="C272" s="2984"/>
      <c r="D272" s="2984"/>
      <c r="E272" s="2984"/>
      <c r="F272" s="2973">
        <v>0.05</v>
      </c>
      <c r="G272" s="2990"/>
    </row>
    <row r="273" spans="1:7">
      <c r="A273" s="2983" t="s">
        <v>305</v>
      </c>
      <c r="B273" s="2972" t="s">
        <v>3213</v>
      </c>
      <c r="C273" s="2984"/>
      <c r="D273" s="2984"/>
      <c r="E273" s="2984"/>
      <c r="F273" s="2973">
        <v>0.05</v>
      </c>
      <c r="G273" s="2990"/>
    </row>
    <row r="274" spans="1:7">
      <c r="A274" s="2983" t="s">
        <v>305</v>
      </c>
      <c r="B274" s="2972" t="s">
        <v>3214</v>
      </c>
      <c r="C274" s="2984"/>
      <c r="D274" s="2984"/>
      <c r="E274" s="2984"/>
      <c r="F274" s="2973">
        <v>0.05</v>
      </c>
      <c r="G274" s="2990"/>
    </row>
    <row r="275" spans="1:7">
      <c r="A275" s="2983" t="s">
        <v>305</v>
      </c>
      <c r="B275" s="2972" t="s">
        <v>3215</v>
      </c>
      <c r="C275" s="2984"/>
      <c r="D275" s="2984"/>
      <c r="E275" s="2984"/>
      <c r="F275" s="2973">
        <v>0.05</v>
      </c>
      <c r="G275" s="2990"/>
    </row>
    <row r="276" spans="1:7" ht="14.25" thickBot="1">
      <c r="A276" s="2986" t="s">
        <v>305</v>
      </c>
      <c r="B276" s="2976" t="s">
        <v>3216</v>
      </c>
      <c r="C276" s="2978"/>
      <c r="D276" s="2978"/>
      <c r="E276" s="2978"/>
      <c r="F276" s="2977">
        <v>0.05</v>
      </c>
      <c r="G276" s="2991"/>
    </row>
    <row r="277" spans="1:7">
      <c r="A277" s="2982" t="s">
        <v>306</v>
      </c>
      <c r="B277" s="2968" t="s">
        <v>2860</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2872</v>
      </c>
      <c r="C279" s="2973">
        <v>0.15</v>
      </c>
      <c r="D279" s="2973">
        <v>0.15</v>
      </c>
      <c r="E279" s="2973">
        <v>0.15</v>
      </c>
      <c r="F279" s="2973">
        <v>0.15</v>
      </c>
      <c r="G279" s="2974">
        <v>0.15</v>
      </c>
    </row>
    <row r="280" spans="1:7">
      <c r="A280" s="2983" t="s">
        <v>306</v>
      </c>
      <c r="B280" s="2972" t="s">
        <v>2876</v>
      </c>
      <c r="C280" s="2973">
        <v>0.15</v>
      </c>
      <c r="D280" s="2973">
        <v>0.15</v>
      </c>
      <c r="E280" s="2973">
        <v>0.15</v>
      </c>
      <c r="F280" s="2973">
        <v>0.15</v>
      </c>
      <c r="G280" s="2974">
        <v>0.15</v>
      </c>
    </row>
    <row r="281" spans="1:7">
      <c r="A281" s="2983" t="s">
        <v>306</v>
      </c>
      <c r="B281" s="2972" t="s">
        <v>2880</v>
      </c>
      <c r="C281" s="2973">
        <v>0.15</v>
      </c>
      <c r="D281" s="2973">
        <v>0.15</v>
      </c>
      <c r="E281" s="2973">
        <v>0.15</v>
      </c>
      <c r="F281" s="2973">
        <v>0.15</v>
      </c>
      <c r="G281" s="2974">
        <v>0.15</v>
      </c>
    </row>
    <row r="282" spans="1:7">
      <c r="A282" s="2983" t="s">
        <v>306</v>
      </c>
      <c r="B282" s="2972" t="s">
        <v>2884</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2899</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2904</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2914</v>
      </c>
      <c r="C293" s="2973">
        <v>0.15</v>
      </c>
      <c r="D293" s="2973">
        <v>0.15</v>
      </c>
      <c r="E293" s="2973">
        <v>0.15</v>
      </c>
      <c r="F293" s="2973">
        <v>0.14499999999999999</v>
      </c>
      <c r="G293" s="2974">
        <v>0.15</v>
      </c>
    </row>
    <row r="294" spans="1:7">
      <c r="A294" s="2983" t="s">
        <v>306</v>
      </c>
      <c r="B294" s="2972" t="s">
        <v>2916</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2933</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2946</v>
      </c>
      <c r="C302" s="2973">
        <v>0.15</v>
      </c>
      <c r="D302" s="2973">
        <v>0.15</v>
      </c>
      <c r="E302" s="2973">
        <v>0.15</v>
      </c>
      <c r="F302" s="2973">
        <v>0.14699999999999999</v>
      </c>
      <c r="G302" s="2974">
        <v>0.15</v>
      </c>
    </row>
    <row r="303" spans="1:7">
      <c r="A303" s="2983" t="s">
        <v>306</v>
      </c>
      <c r="B303" s="2972" t="s">
        <v>2953</v>
      </c>
      <c r="C303" s="2973">
        <v>0.15</v>
      </c>
      <c r="D303" s="2973">
        <v>0.15</v>
      </c>
      <c r="E303" s="2973">
        <v>0.15</v>
      </c>
      <c r="F303" s="2973">
        <v>0.14199999999999999</v>
      </c>
      <c r="G303" s="2974">
        <v>0.15</v>
      </c>
    </row>
    <row r="304" spans="1:7">
      <c r="A304" s="2983" t="s">
        <v>306</v>
      </c>
      <c r="B304" s="2972" t="s">
        <v>2960</v>
      </c>
      <c r="C304" s="2973">
        <v>0.15</v>
      </c>
      <c r="D304" s="2973">
        <v>0.15</v>
      </c>
      <c r="E304" s="2973">
        <v>0.15</v>
      </c>
      <c r="F304" s="2973">
        <v>0.14499999999999999</v>
      </c>
      <c r="G304" s="2974">
        <v>0.15</v>
      </c>
    </row>
    <row r="305" spans="1:7">
      <c r="A305" s="2983" t="s">
        <v>306</v>
      </c>
      <c r="B305" s="2972" t="s">
        <v>2966</v>
      </c>
      <c r="C305" s="2973">
        <v>0.15</v>
      </c>
      <c r="D305" s="2973">
        <v>0.15</v>
      </c>
      <c r="E305" s="2973">
        <v>0.15</v>
      </c>
      <c r="F305" s="2973">
        <v>0.111</v>
      </c>
      <c r="G305" s="2974">
        <v>0.15</v>
      </c>
    </row>
    <row r="306" spans="1:7">
      <c r="A306" s="2983" t="s">
        <v>306</v>
      </c>
      <c r="B306" s="2972" t="s">
        <v>2973</v>
      </c>
      <c r="C306" s="2973">
        <v>0.15</v>
      </c>
      <c r="D306" s="2973">
        <v>0.15</v>
      </c>
      <c r="E306" s="2973">
        <v>0.15</v>
      </c>
      <c r="F306" s="2973">
        <v>0.126</v>
      </c>
      <c r="G306" s="2974">
        <v>0.15</v>
      </c>
    </row>
    <row r="307" spans="1:7">
      <c r="A307" s="2983" t="s">
        <v>306</v>
      </c>
      <c r="B307" s="2972" t="s">
        <v>2978</v>
      </c>
      <c r="C307" s="2973">
        <v>0.15</v>
      </c>
      <c r="D307" s="2973">
        <v>0.15</v>
      </c>
      <c r="E307" s="2973">
        <v>0.15</v>
      </c>
      <c r="F307" s="2973">
        <v>0.12</v>
      </c>
      <c r="G307" s="2974">
        <v>0.15</v>
      </c>
    </row>
    <row r="308" spans="1:7">
      <c r="A308" s="2983" t="s">
        <v>306</v>
      </c>
      <c r="B308" s="2972" t="s">
        <v>2984</v>
      </c>
      <c r="C308" s="2973">
        <v>0.15</v>
      </c>
      <c r="D308" s="2973">
        <v>0.15</v>
      </c>
      <c r="E308" s="2973">
        <v>0.15</v>
      </c>
      <c r="F308" s="2973">
        <v>0.13</v>
      </c>
      <c r="G308" s="2974">
        <v>0.15</v>
      </c>
    </row>
    <row r="309" spans="1:7">
      <c r="A309" s="2983" t="s">
        <v>306</v>
      </c>
      <c r="B309" s="2972" t="s">
        <v>2988</v>
      </c>
      <c r="C309" s="2973">
        <v>0.15</v>
      </c>
      <c r="D309" s="2973">
        <v>0.15</v>
      </c>
      <c r="E309" s="2973">
        <v>0.15</v>
      </c>
      <c r="F309" s="2973">
        <v>0.14099999999999999</v>
      </c>
      <c r="G309" s="2974">
        <v>0.15</v>
      </c>
    </row>
    <row r="310" spans="1:7">
      <c r="A310" s="2983" t="s">
        <v>306</v>
      </c>
      <c r="B310" s="2972" t="s">
        <v>2993</v>
      </c>
      <c r="C310" s="2973">
        <v>0.15</v>
      </c>
      <c r="D310" s="2973">
        <v>0.15</v>
      </c>
      <c r="E310" s="2973">
        <v>0.15</v>
      </c>
      <c r="F310" s="2973">
        <v>0.15</v>
      </c>
      <c r="G310" s="2974">
        <v>0.15</v>
      </c>
    </row>
    <row r="311" spans="1:7">
      <c r="A311" s="2983" t="s">
        <v>306</v>
      </c>
      <c r="B311" s="2972" t="s">
        <v>2998</v>
      </c>
      <c r="C311" s="2973">
        <v>0.13200000000000001</v>
      </c>
      <c r="D311" s="2973">
        <v>0.13300000000000001</v>
      </c>
      <c r="E311" s="2973">
        <v>0.14499999999999999</v>
      </c>
      <c r="F311" s="2973">
        <v>0.14199999999999999</v>
      </c>
      <c r="G311" s="2974">
        <v>0.14000000000000001</v>
      </c>
    </row>
    <row r="312" spans="1:7">
      <c r="A312" s="2983" t="s">
        <v>306</v>
      </c>
      <c r="B312" s="2972" t="s">
        <v>3003</v>
      </c>
      <c r="C312" s="2973">
        <v>0.13800000000000001</v>
      </c>
      <c r="D312" s="2973">
        <v>0.14000000000000001</v>
      </c>
      <c r="E312" s="2973">
        <v>0.14599999999999999</v>
      </c>
      <c r="F312" s="2973">
        <v>0.14899999999999999</v>
      </c>
      <c r="G312" s="2974">
        <v>0.14199999999999999</v>
      </c>
    </row>
    <row r="313" spans="1:7">
      <c r="A313" s="2983" t="s">
        <v>306</v>
      </c>
      <c r="B313" s="2972" t="s">
        <v>3008</v>
      </c>
      <c r="C313" s="2973">
        <v>0.125</v>
      </c>
      <c r="D313" s="2973">
        <v>0.127</v>
      </c>
      <c r="E313" s="2973">
        <v>0.14399999999999999</v>
      </c>
      <c r="F313" s="2973">
        <v>0.115</v>
      </c>
      <c r="G313" s="2974">
        <v>0.13600000000000001</v>
      </c>
    </row>
    <row r="314" spans="1:7">
      <c r="A314" s="2983" t="s">
        <v>306</v>
      </c>
      <c r="B314" s="2972" t="s">
        <v>3217</v>
      </c>
      <c r="C314" s="2989"/>
      <c r="D314" s="2989"/>
      <c r="E314" s="2989"/>
      <c r="F314" s="2973">
        <v>0.05</v>
      </c>
      <c r="G314" s="2990"/>
    </row>
    <row r="315" spans="1:7">
      <c r="A315" s="2983" t="s">
        <v>306</v>
      </c>
      <c r="B315" s="2972" t="s">
        <v>3218</v>
      </c>
      <c r="C315" s="2989"/>
      <c r="D315" s="2989"/>
      <c r="E315" s="2989"/>
      <c r="F315" s="2973">
        <v>0.05</v>
      </c>
      <c r="G315" s="2990"/>
    </row>
    <row r="316" spans="1:7">
      <c r="A316" s="2983" t="s">
        <v>306</v>
      </c>
      <c r="B316" s="2972" t="s">
        <v>3219</v>
      </c>
      <c r="C316" s="2984"/>
      <c r="D316" s="2984"/>
      <c r="E316" s="2984"/>
      <c r="F316" s="2973">
        <v>0.05</v>
      </c>
      <c r="G316" s="2990"/>
    </row>
    <row r="317" spans="1:7">
      <c r="A317" s="2983" t="s">
        <v>306</v>
      </c>
      <c r="B317" s="2972" t="s">
        <v>3220</v>
      </c>
      <c r="C317" s="2984"/>
      <c r="D317" s="2984"/>
      <c r="E317" s="2984"/>
      <c r="F317" s="2973">
        <v>0.05</v>
      </c>
      <c r="G317" s="2990"/>
    </row>
    <row r="318" spans="1:7">
      <c r="A318" s="2983" t="s">
        <v>306</v>
      </c>
      <c r="B318" s="2972" t="s">
        <v>3221</v>
      </c>
      <c r="C318" s="2984"/>
      <c r="D318" s="2984"/>
      <c r="E318" s="2984"/>
      <c r="F318" s="2973">
        <v>0.05</v>
      </c>
      <c r="G318" s="2990"/>
    </row>
    <row r="319" spans="1:7">
      <c r="A319" s="2983" t="s">
        <v>306</v>
      </c>
      <c r="B319" s="2972" t="s">
        <v>3222</v>
      </c>
      <c r="C319" s="2984"/>
      <c r="D319" s="2984"/>
      <c r="E319" s="2984"/>
      <c r="F319" s="2973">
        <v>0.05</v>
      </c>
      <c r="G319" s="2990"/>
    </row>
    <row r="320" spans="1:7">
      <c r="A320" s="2983" t="s">
        <v>306</v>
      </c>
      <c r="B320" s="2972" t="s">
        <v>3223</v>
      </c>
      <c r="C320" s="2984"/>
      <c r="D320" s="2984"/>
      <c r="E320" s="2984"/>
      <c r="F320" s="2973">
        <v>0.05</v>
      </c>
      <c r="G320" s="2990"/>
    </row>
    <row r="321" spans="1:7">
      <c r="A321" s="2983" t="s">
        <v>306</v>
      </c>
      <c r="B321" s="2972" t="s">
        <v>3224</v>
      </c>
      <c r="C321" s="2984"/>
      <c r="D321" s="2984"/>
      <c r="E321" s="2984"/>
      <c r="F321" s="2973">
        <v>0.05</v>
      </c>
      <c r="G321" s="2990"/>
    </row>
    <row r="322" spans="1:7">
      <c r="A322" s="2983" t="s">
        <v>306</v>
      </c>
      <c r="B322" s="2972" t="s">
        <v>3225</v>
      </c>
      <c r="C322" s="2984"/>
      <c r="D322" s="2984"/>
      <c r="E322" s="2984"/>
      <c r="F322" s="2973">
        <v>0.05</v>
      </c>
      <c r="G322" s="2990"/>
    </row>
    <row r="323" spans="1:7">
      <c r="A323" s="2983" t="s">
        <v>306</v>
      </c>
      <c r="B323" s="2972" t="s">
        <v>3226</v>
      </c>
      <c r="C323" s="2984"/>
      <c r="D323" s="2984"/>
      <c r="E323" s="2984"/>
      <c r="F323" s="2973">
        <v>0.05</v>
      </c>
      <c r="G323" s="2990"/>
    </row>
    <row r="324" spans="1:7">
      <c r="A324" s="2983" t="s">
        <v>306</v>
      </c>
      <c r="B324" s="2972" t="s">
        <v>3227</v>
      </c>
      <c r="C324" s="2984"/>
      <c r="D324" s="2984"/>
      <c r="E324" s="2984"/>
      <c r="F324" s="2973">
        <v>0.05</v>
      </c>
      <c r="G324" s="2990"/>
    </row>
    <row r="325" spans="1:7">
      <c r="A325" s="2983" t="s">
        <v>306</v>
      </c>
      <c r="B325" s="2972" t="s">
        <v>3228</v>
      </c>
      <c r="C325" s="2984"/>
      <c r="D325" s="2984"/>
      <c r="E325" s="2984"/>
      <c r="F325" s="2973">
        <v>0.05</v>
      </c>
      <c r="G325" s="2990"/>
    </row>
    <row r="326" spans="1:7" ht="14.25" thickBot="1">
      <c r="A326" s="2986" t="s">
        <v>306</v>
      </c>
      <c r="B326" s="2976" t="s">
        <v>3229</v>
      </c>
      <c r="C326" s="2978"/>
      <c r="D326" s="2978"/>
      <c r="E326" s="2978"/>
      <c r="F326" s="2977">
        <v>0.05</v>
      </c>
      <c r="G326" s="2991"/>
    </row>
    <row r="327" spans="1:7">
      <c r="A327" s="2982" t="s">
        <v>307</v>
      </c>
      <c r="B327" s="2968" t="s">
        <v>2861</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2873</v>
      </c>
      <c r="C329" s="2973">
        <v>0.15</v>
      </c>
      <c r="D329" s="2973">
        <v>0.15</v>
      </c>
      <c r="E329" s="2973">
        <v>0.15</v>
      </c>
      <c r="F329" s="2973">
        <v>0.15</v>
      </c>
      <c r="G329" s="2974">
        <v>0.15</v>
      </c>
    </row>
    <row r="330" spans="1:7">
      <c r="A330" s="2983" t="s">
        <v>307</v>
      </c>
      <c r="B330" s="2972" t="s">
        <v>2877</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2885</v>
      </c>
      <c r="C332" s="2973">
        <v>0.15</v>
      </c>
      <c r="D332" s="2973">
        <v>0.15</v>
      </c>
      <c r="E332" s="2973">
        <v>0.15</v>
      </c>
      <c r="F332" s="2973">
        <v>0.15</v>
      </c>
      <c r="G332" s="2974">
        <v>0.15</v>
      </c>
    </row>
    <row r="333" spans="1:7">
      <c r="A333" s="2983" t="s">
        <v>307</v>
      </c>
      <c r="B333" s="2972" t="s">
        <v>2889</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2895</v>
      </c>
      <c r="C336" s="2973">
        <v>0.15</v>
      </c>
      <c r="D336" s="2973">
        <v>0.15</v>
      </c>
      <c r="E336" s="2973">
        <v>0.15</v>
      </c>
      <c r="F336" s="2973">
        <v>0.14199999999999999</v>
      </c>
      <c r="G336" s="2974">
        <v>0.15</v>
      </c>
    </row>
    <row r="337" spans="1:7">
      <c r="A337" s="2983" t="s">
        <v>307</v>
      </c>
      <c r="B337" s="2972" t="s">
        <v>2900</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2907</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2912</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2920</v>
      </c>
      <c r="C345" s="2973">
        <v>0.15</v>
      </c>
      <c r="D345" s="2973">
        <v>0.15</v>
      </c>
      <c r="E345" s="2973">
        <v>0.15</v>
      </c>
      <c r="F345" s="2973">
        <v>0.13800000000000001</v>
      </c>
      <c r="G345" s="2974">
        <v>0.15</v>
      </c>
    </row>
    <row r="346" spans="1:7">
      <c r="A346" s="2983" t="s">
        <v>307</v>
      </c>
      <c r="B346" s="2972" t="s">
        <v>2922</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2929</v>
      </c>
      <c r="C348" s="2973">
        <v>0.15</v>
      </c>
      <c r="D348" s="2973">
        <v>0.15</v>
      </c>
      <c r="E348" s="2973">
        <v>0.15</v>
      </c>
      <c r="F348" s="2973">
        <v>0.14399999999999999</v>
      </c>
      <c r="G348" s="2974">
        <v>0.15</v>
      </c>
    </row>
    <row r="349" spans="1:7">
      <c r="A349" s="2983" t="s">
        <v>307</v>
      </c>
      <c r="B349" s="2972" t="s">
        <v>2934</v>
      </c>
      <c r="C349" s="2973">
        <v>0.15</v>
      </c>
      <c r="D349" s="2973">
        <v>0.15</v>
      </c>
      <c r="E349" s="2973">
        <v>0.15</v>
      </c>
      <c r="F349" s="2973">
        <v>0.15</v>
      </c>
      <c r="G349" s="2974">
        <v>0.15</v>
      </c>
    </row>
    <row r="350" spans="1:7">
      <c r="A350" s="2983" t="s">
        <v>307</v>
      </c>
      <c r="B350" s="2972" t="s">
        <v>2937</v>
      </c>
      <c r="C350" s="2973">
        <v>0.15</v>
      </c>
      <c r="D350" s="2973">
        <v>0.15</v>
      </c>
      <c r="E350" s="2973">
        <v>0.15</v>
      </c>
      <c r="F350" s="2973">
        <v>0.14699999999999999</v>
      </c>
      <c r="G350" s="2974">
        <v>0.15</v>
      </c>
    </row>
    <row r="351" spans="1:7">
      <c r="A351" s="2983" t="s">
        <v>307</v>
      </c>
      <c r="B351" s="2972" t="s">
        <v>2942</v>
      </c>
      <c r="C351" s="2973">
        <v>0.15</v>
      </c>
      <c r="D351" s="2973">
        <v>0.15</v>
      </c>
      <c r="E351" s="2973">
        <v>0.15</v>
      </c>
      <c r="F351" s="2973">
        <v>0.13</v>
      </c>
      <c r="G351" s="2974">
        <v>0.15</v>
      </c>
    </row>
    <row r="352" spans="1:7">
      <c r="A352" s="2983" t="s">
        <v>307</v>
      </c>
      <c r="B352" s="2972" t="s">
        <v>2947</v>
      </c>
      <c r="C352" s="2973">
        <v>0.15</v>
      </c>
      <c r="D352" s="2973">
        <v>0.15</v>
      </c>
      <c r="E352" s="2973">
        <v>0.15</v>
      </c>
      <c r="F352" s="2973">
        <v>0.14599999999999999</v>
      </c>
      <c r="G352" s="2974">
        <v>0.15</v>
      </c>
    </row>
    <row r="353" spans="1:7">
      <c r="A353" s="2983" t="s">
        <v>307</v>
      </c>
      <c r="B353" s="2972" t="s">
        <v>2954</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2967</v>
      </c>
      <c r="C355" s="2973">
        <v>0.15</v>
      </c>
      <c r="D355" s="2973">
        <v>0.15</v>
      </c>
      <c r="E355" s="2973">
        <v>0.15</v>
      </c>
      <c r="F355" s="2973">
        <v>0.15</v>
      </c>
      <c r="G355" s="2974">
        <v>0.15</v>
      </c>
    </row>
    <row r="356" spans="1:7">
      <c r="A356" s="2983" t="s">
        <v>307</v>
      </c>
      <c r="B356" s="2972" t="s">
        <v>2974</v>
      </c>
      <c r="C356" s="2973">
        <v>0.15</v>
      </c>
      <c r="D356" s="2973">
        <v>0.15</v>
      </c>
      <c r="E356" s="2973">
        <v>0.15</v>
      </c>
      <c r="F356" s="2973">
        <v>0.15</v>
      </c>
      <c r="G356" s="2974">
        <v>0.15</v>
      </c>
    </row>
    <row r="357" spans="1:7" ht="14.25" thickBot="1">
      <c r="A357" s="2986" t="s">
        <v>307</v>
      </c>
      <c r="B357" s="2976" t="s">
        <v>2979</v>
      </c>
      <c r="C357" s="2977">
        <v>0.126</v>
      </c>
      <c r="D357" s="2977">
        <v>0.127</v>
      </c>
      <c r="E357" s="2977">
        <v>0.14299999999999999</v>
      </c>
      <c r="F357" s="2977">
        <v>0.125</v>
      </c>
      <c r="G357" s="2979">
        <v>0.129</v>
      </c>
    </row>
    <row r="358" spans="1:7">
      <c r="A358" s="2982" t="s">
        <v>2848</v>
      </c>
      <c r="B358" s="2968" t="s">
        <v>2862</v>
      </c>
      <c r="C358" s="2969">
        <v>0.15</v>
      </c>
      <c r="D358" s="2969">
        <v>0.15</v>
      </c>
      <c r="E358" s="2969">
        <v>0.15</v>
      </c>
      <c r="F358" s="2969">
        <v>0.15</v>
      </c>
      <c r="G358" s="2970">
        <v>0.15</v>
      </c>
    </row>
    <row r="359" spans="1:7">
      <c r="A359" s="2983" t="s">
        <v>2848</v>
      </c>
      <c r="B359" s="2972" t="s">
        <v>2868</v>
      </c>
      <c r="C359" s="2973">
        <v>0.1</v>
      </c>
      <c r="D359" s="2973">
        <v>0.1</v>
      </c>
      <c r="E359" s="2973">
        <v>0.1</v>
      </c>
      <c r="F359" s="2973">
        <v>0.1</v>
      </c>
      <c r="G359" s="2974">
        <v>0.1</v>
      </c>
    </row>
    <row r="360" spans="1:7">
      <c r="A360" s="2983" t="s">
        <v>2848</v>
      </c>
      <c r="B360" s="2972" t="s">
        <v>2874</v>
      </c>
      <c r="C360" s="2973">
        <v>0.15</v>
      </c>
      <c r="D360" s="2973">
        <v>0.15</v>
      </c>
      <c r="E360" s="2973">
        <v>0.15</v>
      </c>
      <c r="F360" s="2973">
        <v>0.14899999999999999</v>
      </c>
      <c r="G360" s="2974">
        <v>0.15</v>
      </c>
    </row>
    <row r="361" spans="1:7">
      <c r="A361" s="2983" t="s">
        <v>2848</v>
      </c>
      <c r="B361" s="2972" t="s">
        <v>153</v>
      </c>
      <c r="C361" s="2973">
        <v>0.15</v>
      </c>
      <c r="D361" s="2973">
        <v>0.15</v>
      </c>
      <c r="E361" s="2973">
        <v>0.15</v>
      </c>
      <c r="F361" s="2973">
        <v>0.115</v>
      </c>
      <c r="G361" s="2974">
        <v>0.15</v>
      </c>
    </row>
    <row r="362" spans="1:7">
      <c r="A362" s="2983" t="s">
        <v>2848</v>
      </c>
      <c r="B362" s="2972" t="s">
        <v>2881</v>
      </c>
      <c r="C362" s="2973">
        <v>0.15</v>
      </c>
      <c r="D362" s="2973">
        <v>0.15</v>
      </c>
      <c r="E362" s="2973">
        <v>0.15</v>
      </c>
      <c r="F362" s="2973">
        <v>0.106</v>
      </c>
      <c r="G362" s="2974">
        <v>0.15</v>
      </c>
    </row>
    <row r="363" spans="1:7">
      <c r="A363" s="2983" t="s">
        <v>2848</v>
      </c>
      <c r="B363" s="2972" t="s">
        <v>2886</v>
      </c>
      <c r="C363" s="2973">
        <v>0.15</v>
      </c>
      <c r="D363" s="2973">
        <v>0.15</v>
      </c>
      <c r="E363" s="2973">
        <v>0.15</v>
      </c>
      <c r="F363" s="2973">
        <v>0.14699999999999999</v>
      </c>
      <c r="G363" s="2974">
        <v>0.15</v>
      </c>
    </row>
    <row r="364" spans="1:7">
      <c r="A364" s="2983" t="s">
        <v>2848</v>
      </c>
      <c r="B364" s="2972" t="s">
        <v>2890</v>
      </c>
      <c r="C364" s="2973">
        <v>0.15</v>
      </c>
      <c r="D364" s="2973">
        <v>0.15</v>
      </c>
      <c r="E364" s="2973">
        <v>0.15</v>
      </c>
      <c r="F364" s="2973">
        <v>0.14799999999999999</v>
      </c>
      <c r="G364" s="2974">
        <v>0.15</v>
      </c>
    </row>
    <row r="365" spans="1:7">
      <c r="A365" s="2983" t="s">
        <v>2848</v>
      </c>
      <c r="B365" s="2972" t="s">
        <v>200</v>
      </c>
      <c r="C365" s="2973">
        <v>0.15</v>
      </c>
      <c r="D365" s="2973">
        <v>0.15</v>
      </c>
      <c r="E365" s="2973">
        <v>0.15</v>
      </c>
      <c r="F365" s="2973">
        <v>0.15</v>
      </c>
      <c r="G365" s="2974">
        <v>0.15</v>
      </c>
    </row>
    <row r="366" spans="1:7">
      <c r="A366" s="2983" t="s">
        <v>2848</v>
      </c>
      <c r="B366" s="2972" t="s">
        <v>2893</v>
      </c>
      <c r="C366" s="2973">
        <v>0.15</v>
      </c>
      <c r="D366" s="2973">
        <v>0.15</v>
      </c>
      <c r="E366" s="2973">
        <v>0.15</v>
      </c>
      <c r="F366" s="2973">
        <v>0.15</v>
      </c>
      <c r="G366" s="2974">
        <v>0.15</v>
      </c>
    </row>
    <row r="367" spans="1:7">
      <c r="A367" s="2983" t="s">
        <v>2848</v>
      </c>
      <c r="B367" s="2972" t="s">
        <v>2896</v>
      </c>
      <c r="C367" s="2973">
        <v>0.15</v>
      </c>
      <c r="D367" s="2973">
        <v>0.15</v>
      </c>
      <c r="E367" s="2973">
        <v>0.15</v>
      </c>
      <c r="F367" s="2973">
        <v>0.14699999999999999</v>
      </c>
      <c r="G367" s="2974">
        <v>0.15</v>
      </c>
    </row>
    <row r="368" spans="1:7">
      <c r="A368" s="2983" t="s">
        <v>2848</v>
      </c>
      <c r="B368" s="2972" t="s">
        <v>2901</v>
      </c>
      <c r="C368" s="2973">
        <v>0.15</v>
      </c>
      <c r="D368" s="2973">
        <v>0.15</v>
      </c>
      <c r="E368" s="2973">
        <v>0.15</v>
      </c>
      <c r="F368" s="2973">
        <v>0.13600000000000001</v>
      </c>
      <c r="G368" s="2974">
        <v>0.15</v>
      </c>
    </row>
    <row r="369" spans="1:7">
      <c r="A369" s="2983" t="s">
        <v>2848</v>
      </c>
      <c r="B369" s="2972" t="s">
        <v>214</v>
      </c>
      <c r="C369" s="2973">
        <v>0.15</v>
      </c>
      <c r="D369" s="2973">
        <v>0.15</v>
      </c>
      <c r="E369" s="2973">
        <v>0.15</v>
      </c>
      <c r="F369" s="2973">
        <v>0.14399999999999999</v>
      </c>
      <c r="G369" s="2974">
        <v>0.15</v>
      </c>
    </row>
    <row r="370" spans="1:7">
      <c r="A370" s="2983" t="s">
        <v>2848</v>
      </c>
      <c r="B370" s="2972" t="s">
        <v>221</v>
      </c>
      <c r="C370" s="2973">
        <v>0.15</v>
      </c>
      <c r="D370" s="2973">
        <v>0.15</v>
      </c>
      <c r="E370" s="2973">
        <v>0.15</v>
      </c>
      <c r="F370" s="2973">
        <v>0.14599999999999999</v>
      </c>
      <c r="G370" s="2974">
        <v>0.15</v>
      </c>
    </row>
    <row r="371" spans="1:7">
      <c r="A371" s="2983" t="s">
        <v>2848</v>
      </c>
      <c r="B371" s="2972" t="s">
        <v>229</v>
      </c>
      <c r="C371" s="2973">
        <v>0.15</v>
      </c>
      <c r="D371" s="2973">
        <v>0.15</v>
      </c>
      <c r="E371" s="2973">
        <v>0.15</v>
      </c>
      <c r="F371" s="2973">
        <v>0.12</v>
      </c>
      <c r="G371" s="2974">
        <v>0.15</v>
      </c>
    </row>
    <row r="372" spans="1:7">
      <c r="A372" s="2983" t="s">
        <v>2848</v>
      </c>
      <c r="B372" s="2972" t="s">
        <v>2909</v>
      </c>
      <c r="C372" s="2973">
        <v>0.15</v>
      </c>
      <c r="D372" s="2973">
        <v>0.15</v>
      </c>
      <c r="E372" s="2973">
        <v>0.15</v>
      </c>
      <c r="F372" s="2973">
        <v>0.14299999999999999</v>
      </c>
      <c r="G372" s="2974">
        <v>0.15</v>
      </c>
    </row>
    <row r="373" spans="1:7">
      <c r="A373" s="2983" t="s">
        <v>2848</v>
      </c>
      <c r="B373" s="2972" t="s">
        <v>258</v>
      </c>
      <c r="C373" s="2973">
        <v>0.15</v>
      </c>
      <c r="D373" s="2973">
        <v>0.15</v>
      </c>
      <c r="E373" s="2973">
        <v>0.15</v>
      </c>
      <c r="F373" s="2973">
        <v>0.14599999999999999</v>
      </c>
      <c r="G373" s="2974">
        <v>0.15</v>
      </c>
    </row>
    <row r="374" spans="1:7">
      <c r="A374" s="2983" t="s">
        <v>2848</v>
      </c>
      <c r="B374" s="2972" t="s">
        <v>266</v>
      </c>
      <c r="C374" s="2973">
        <v>0.15</v>
      </c>
      <c r="D374" s="2973">
        <v>0.15</v>
      </c>
      <c r="E374" s="2973">
        <v>0.15</v>
      </c>
      <c r="F374" s="2973">
        <v>0.14399999999999999</v>
      </c>
      <c r="G374" s="2974">
        <v>0.15</v>
      </c>
    </row>
    <row r="375" spans="1:7">
      <c r="A375" s="2983" t="s">
        <v>2848</v>
      </c>
      <c r="B375" s="2972" t="s">
        <v>2917</v>
      </c>
      <c r="C375" s="2973">
        <v>0.15</v>
      </c>
      <c r="D375" s="2973">
        <v>0.15</v>
      </c>
      <c r="E375" s="2973">
        <v>0.15</v>
      </c>
      <c r="F375" s="2973">
        <v>0.13</v>
      </c>
      <c r="G375" s="2974">
        <v>0.15</v>
      </c>
    </row>
    <row r="376" spans="1:7">
      <c r="A376" s="2983" t="s">
        <v>2848</v>
      </c>
      <c r="B376" s="2972" t="s">
        <v>277</v>
      </c>
      <c r="C376" s="2973">
        <v>0.15</v>
      </c>
      <c r="D376" s="2973">
        <v>0.15</v>
      </c>
      <c r="E376" s="2973">
        <v>0.15</v>
      </c>
      <c r="F376" s="2973">
        <v>0.14199999999999999</v>
      </c>
      <c r="G376" s="2974">
        <v>0.15</v>
      </c>
    </row>
    <row r="377" spans="1:7" ht="14.25" thickBot="1">
      <c r="A377" s="2986" t="s">
        <v>2848</v>
      </c>
      <c r="B377" s="2976" t="s">
        <v>2923</v>
      </c>
      <c r="C377" s="2977">
        <v>0.15</v>
      </c>
      <c r="D377" s="2977">
        <v>0.15</v>
      </c>
      <c r="E377" s="2977">
        <v>0.15</v>
      </c>
      <c r="F377" s="2977">
        <v>0.14000000000000001</v>
      </c>
      <c r="G377" s="2979">
        <v>0.15</v>
      </c>
    </row>
    <row r="378" spans="1:7">
      <c r="A378" s="2982" t="s">
        <v>2849</v>
      </c>
      <c r="B378" s="2968" t="s">
        <v>2863</v>
      </c>
      <c r="C378" s="2969">
        <v>0.15</v>
      </c>
      <c r="D378" s="2969">
        <v>0.15</v>
      </c>
      <c r="E378" s="2969">
        <v>0.15</v>
      </c>
      <c r="F378" s="2969">
        <v>0.107</v>
      </c>
      <c r="G378" s="2970">
        <v>0.15</v>
      </c>
    </row>
    <row r="379" spans="1:7">
      <c r="A379" s="2983" t="s">
        <v>2849</v>
      </c>
      <c r="B379" s="2972" t="s">
        <v>2869</v>
      </c>
      <c r="C379" s="2973">
        <v>0.15</v>
      </c>
      <c r="D379" s="2973">
        <v>0.15</v>
      </c>
      <c r="E379" s="2973">
        <v>0.15</v>
      </c>
      <c r="F379" s="2973">
        <v>0.115</v>
      </c>
      <c r="G379" s="2974">
        <v>0.14899999999999999</v>
      </c>
    </row>
    <row r="380" spans="1:7">
      <c r="A380" s="2983" t="s">
        <v>2849</v>
      </c>
      <c r="B380" s="2972" t="s">
        <v>2875</v>
      </c>
      <c r="C380" s="2973">
        <v>0.15</v>
      </c>
      <c r="D380" s="2973">
        <v>0.15</v>
      </c>
      <c r="E380" s="2973">
        <v>0.15</v>
      </c>
      <c r="F380" s="2973">
        <v>0.1</v>
      </c>
      <c r="G380" s="2974">
        <v>0.14799999999999999</v>
      </c>
    </row>
    <row r="381" spans="1:7">
      <c r="A381" s="2983" t="s">
        <v>2849</v>
      </c>
      <c r="B381" s="2972" t="s">
        <v>2878</v>
      </c>
      <c r="C381" s="2973">
        <v>0.15</v>
      </c>
      <c r="D381" s="2973">
        <v>0.15</v>
      </c>
      <c r="E381" s="2973">
        <v>0.15</v>
      </c>
      <c r="F381" s="2973">
        <v>0.126</v>
      </c>
      <c r="G381" s="2974">
        <v>0.15</v>
      </c>
    </row>
    <row r="382" spans="1:7">
      <c r="A382" s="2983" t="s">
        <v>2849</v>
      </c>
      <c r="B382" s="2972" t="s">
        <v>2882</v>
      </c>
      <c r="C382" s="2973">
        <v>0.15</v>
      </c>
      <c r="D382" s="2973">
        <v>0.15</v>
      </c>
      <c r="E382" s="2973">
        <v>0.15</v>
      </c>
      <c r="F382" s="2973">
        <v>0.15</v>
      </c>
      <c r="G382" s="2974">
        <v>0.15</v>
      </c>
    </row>
    <row r="383" spans="1:7">
      <c r="A383" s="2983" t="s">
        <v>2849</v>
      </c>
      <c r="B383" s="2972" t="s">
        <v>2887</v>
      </c>
      <c r="C383" s="2973">
        <v>0.15</v>
      </c>
      <c r="D383" s="2973">
        <v>0.15</v>
      </c>
      <c r="E383" s="2973">
        <v>0.15</v>
      </c>
      <c r="F383" s="2973">
        <v>0.14699999999999999</v>
      </c>
      <c r="G383" s="2974">
        <v>0.15</v>
      </c>
    </row>
    <row r="384" spans="1:7" ht="14.25" thickBot="1">
      <c r="A384" s="2993" t="s">
        <v>2849</v>
      </c>
      <c r="B384" s="2994" t="s">
        <v>2891</v>
      </c>
      <c r="C384" s="2995">
        <v>0.15</v>
      </c>
      <c r="D384" s="2995">
        <v>0.15</v>
      </c>
      <c r="E384" s="2995">
        <v>0.15</v>
      </c>
      <c r="F384" s="2995">
        <v>0.15</v>
      </c>
      <c r="G384" s="2996">
        <v>0.15</v>
      </c>
    </row>
  </sheetData>
  <sheetProtection password="CEE9" sheet="1" objects="1" scenarios="1"/>
  <mergeCells count="1">
    <mergeCell ref="A1:B1"/>
  </mergeCells>
  <phoneticPr fontId="9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601" t="s">
        <v>3230</v>
      </c>
      <c r="B1" s="3601"/>
      <c r="C1" s="3601"/>
      <c r="D1" s="3601"/>
      <c r="E1" s="3601"/>
      <c r="F1" s="3602"/>
    </row>
    <row r="2" spans="1:6">
      <c r="A2" s="2997" t="s">
        <v>3231</v>
      </c>
    </row>
    <row r="3" spans="1:6">
      <c r="A3" s="2997" t="s">
        <v>3232</v>
      </c>
      <c r="F3" s="2998" t="s">
        <v>3233</v>
      </c>
    </row>
    <row r="4" spans="1:6">
      <c r="A4" s="2999" t="s">
        <v>666</v>
      </c>
      <c r="B4" s="2999" t="s">
        <v>667</v>
      </c>
      <c r="C4" s="2999" t="s">
        <v>21</v>
      </c>
      <c r="D4" s="2999" t="s">
        <v>668</v>
      </c>
      <c r="E4" s="2999" t="s">
        <v>3</v>
      </c>
      <c r="F4" s="2999" t="s">
        <v>3234</v>
      </c>
    </row>
    <row r="5" spans="1:6">
      <c r="A5" s="3000" t="s">
        <v>669</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2">
        <f>基准地价修正!G23</f>
        <v>45291</v>
      </c>
      <c r="B1" s="2924" t="s">
        <v>3369</v>
      </c>
      <c r="C1" s="2925"/>
      <c r="D1" s="2925"/>
      <c r="E1" s="2925"/>
      <c r="F1" s="2925"/>
      <c r="G1" s="2925"/>
      <c r="H1" s="2925"/>
      <c r="I1" s="2925"/>
      <c r="J1" s="2891"/>
      <c r="K1" s="2925" t="s">
        <v>454</v>
      </c>
      <c r="L1" s="2925"/>
      <c r="M1" s="2925"/>
      <c r="N1" s="2925"/>
      <c r="O1" s="2925"/>
      <c r="P1" s="2925"/>
      <c r="Q1" s="2891"/>
      <c r="R1" s="3603" t="s">
        <v>456</v>
      </c>
      <c r="S1" s="3604"/>
      <c r="T1" s="3604"/>
      <c r="U1" s="3604"/>
      <c r="V1" s="3604"/>
      <c r="W1" s="3604"/>
      <c r="X1" s="2891"/>
      <c r="Y1" s="3603" t="s">
        <v>457</v>
      </c>
      <c r="Z1" s="3604"/>
      <c r="AA1" s="3604"/>
      <c r="AB1" s="3604"/>
      <c r="AC1" s="3604"/>
      <c r="AD1" s="3604"/>
    </row>
    <row r="2" spans="1:30" s="2006" customFormat="1" ht="14.25" thickBot="1">
      <c r="B2" s="2876"/>
      <c r="C2" s="2877"/>
      <c r="D2" s="2007" t="s">
        <v>2808</v>
      </c>
      <c r="E2" s="2008" t="s">
        <v>2809</v>
      </c>
      <c r="F2" s="2008" t="s">
        <v>2810</v>
      </c>
      <c r="G2" s="2008" t="s">
        <v>2811</v>
      </c>
      <c r="H2" s="2008" t="s">
        <v>2812</v>
      </c>
      <c r="I2" s="2008" t="s">
        <v>2629</v>
      </c>
      <c r="J2" s="2878"/>
      <c r="K2" s="2007" t="s">
        <v>2808</v>
      </c>
      <c r="L2" s="2008" t="s">
        <v>2809</v>
      </c>
      <c r="M2" s="2008" t="s">
        <v>2810</v>
      </c>
      <c r="N2" s="2008" t="s">
        <v>2811</v>
      </c>
      <c r="O2" s="2008" t="s">
        <v>2813</v>
      </c>
      <c r="P2" s="2008" t="s">
        <v>2629</v>
      </c>
      <c r="Q2" s="2878"/>
      <c r="R2" s="2007" t="s">
        <v>2808</v>
      </c>
      <c r="S2" s="2008" t="s">
        <v>2809</v>
      </c>
      <c r="T2" s="2008" t="s">
        <v>2810</v>
      </c>
      <c r="U2" s="2008" t="s">
        <v>2814</v>
      </c>
      <c r="V2" s="2008" t="s">
        <v>2815</v>
      </c>
      <c r="W2" s="2008" t="s">
        <v>2629</v>
      </c>
      <c r="X2" s="2878"/>
      <c r="Y2" s="2007" t="s">
        <v>2808</v>
      </c>
      <c r="Z2" s="2008" t="s">
        <v>2809</v>
      </c>
      <c r="AA2" s="2008" t="s">
        <v>2810</v>
      </c>
      <c r="AB2" s="2008" t="s">
        <v>2816</v>
      </c>
      <c r="AC2" s="2008" t="s">
        <v>2815</v>
      </c>
      <c r="AD2" s="2008" t="s">
        <v>2629</v>
      </c>
    </row>
    <row r="3" spans="1:30" s="2881" customFormat="1" ht="12.75">
      <c r="A3" s="2879" t="s">
        <v>2817</v>
      </c>
      <c r="B3" s="2880"/>
      <c r="D3" s="2881">
        <f>ROUND(AVERAGEIF(D4:D18,"&lt;&gt;0"),2)</f>
        <v>0.73</v>
      </c>
      <c r="E3" s="2881">
        <f t="shared" ref="E3:H3" si="0">ROUND(AVERAGEIF(E4:E18,"&lt;&gt;0"),2)</f>
        <v>0.4</v>
      </c>
      <c r="F3" s="2881">
        <f t="shared" si="0"/>
        <v>0.2</v>
      </c>
      <c r="G3" s="2881">
        <f t="shared" si="0"/>
        <v>0.78</v>
      </c>
      <c r="H3" s="2881">
        <f t="shared" si="0"/>
        <v>0.63</v>
      </c>
      <c r="I3" s="2881">
        <f>F3</f>
        <v>0.2</v>
      </c>
      <c r="J3" s="2882"/>
      <c r="K3" s="2883">
        <f>ROUND(AVERAGEIF(K4:K18,"&lt;&gt;0"),4)</f>
        <v>7.3000000000000001E-3</v>
      </c>
      <c r="L3" s="2884">
        <f t="shared" ref="L3:O3" si="1">ROUND(AVERAGEIF(L4:L18,"&lt;&gt;0"),4)</f>
        <v>4.0000000000000001E-3</v>
      </c>
      <c r="M3" s="2884">
        <f t="shared" si="1"/>
        <v>2E-3</v>
      </c>
      <c r="N3" s="2884">
        <f t="shared" si="1"/>
        <v>7.7999999999999996E-3</v>
      </c>
      <c r="O3" s="2884">
        <f t="shared" si="1"/>
        <v>6.3E-3</v>
      </c>
      <c r="P3" s="2884">
        <f>M3</f>
        <v>2E-3</v>
      </c>
      <c r="Q3" s="2882"/>
      <c r="R3" s="2885">
        <f>ROUND(SUMPRODUCT(PRODUCT(1+K4:K18)),4)</f>
        <v>1.0908</v>
      </c>
      <c r="S3" s="2886">
        <f t="shared" ref="S3:V3" si="2">ROUND(SUMPRODUCT(PRODUCT(1+L4:L18)),4)</f>
        <v>1.0488</v>
      </c>
      <c r="T3" s="2886">
        <f t="shared" si="2"/>
        <v>1.024</v>
      </c>
      <c r="U3" s="2886">
        <f t="shared" si="2"/>
        <v>1.0980000000000001</v>
      </c>
      <c r="V3" s="2886">
        <f t="shared" si="2"/>
        <v>1.0779000000000001</v>
      </c>
      <c r="W3" s="2885">
        <f>T3</f>
        <v>1.024</v>
      </c>
      <c r="X3" s="2882"/>
      <c r="Y3" s="2887">
        <f>ROUND(AVERAGEIF(Y5:Y18,"&lt;&gt;0"),4)</f>
        <v>8.6999999999999994E-3</v>
      </c>
      <c r="Z3" s="2888">
        <f t="shared" ref="Z3:AC3" si="3">ROUND(AVERAGEIF(Z5:Z18,"&lt;&gt;0"),4)</f>
        <v>3.5000000000000001E-3</v>
      </c>
      <c r="AA3" s="2889">
        <f t="shared" si="3"/>
        <v>8.9999999999999998E-4</v>
      </c>
      <c r="AB3" s="2887">
        <f t="shared" si="3"/>
        <v>9.4999999999999998E-3</v>
      </c>
      <c r="AC3" s="2890">
        <f t="shared" si="3"/>
        <v>6.1000000000000004E-3</v>
      </c>
      <c r="AD3" s="2887">
        <f>AA3</f>
        <v>8.9999999999999998E-4</v>
      </c>
    </row>
    <row r="4" spans="1:30" s="2005" customFormat="1" ht="12.75">
      <c r="B4" s="2021"/>
      <c r="J4" s="2891"/>
      <c r="K4" s="2892"/>
      <c r="L4" s="2893"/>
      <c r="M4" s="2893"/>
      <c r="N4" s="2893"/>
      <c r="O4" s="2893"/>
      <c r="P4" s="2893"/>
      <c r="Q4" s="2891"/>
      <c r="R4" s="2023"/>
      <c r="S4" s="2894"/>
      <c r="T4" s="2895"/>
      <c r="U4" s="2023"/>
      <c r="V4" s="2896"/>
      <c r="W4" s="2023"/>
      <c r="X4" s="2891"/>
      <c r="Y4" s="2024"/>
      <c r="Z4" s="2897"/>
      <c r="AA4" s="2898"/>
      <c r="AB4" s="2024"/>
      <c r="AC4" s="2899"/>
      <c r="AD4" s="2024"/>
    </row>
    <row r="5" spans="1:30" s="2041" customFormat="1" ht="12.75">
      <c r="A5" s="2036" t="s">
        <v>3372</v>
      </c>
      <c r="B5" s="2027">
        <v>2024</v>
      </c>
      <c r="C5" s="2038">
        <v>2</v>
      </c>
      <c r="D5" s="2003">
        <v>0</v>
      </c>
      <c r="E5" s="2003">
        <v>0</v>
      </c>
      <c r="F5" s="2003">
        <v>0</v>
      </c>
      <c r="G5" s="2003">
        <v>0</v>
      </c>
      <c r="H5" s="2003">
        <v>0</v>
      </c>
      <c r="I5" s="2004">
        <f t="shared" ref="I5:I18" si="4">F5</f>
        <v>0</v>
      </c>
      <c r="J5" s="2901"/>
      <c r="K5" s="2039">
        <f t="shared" ref="K5:O18" si="5">D5/100</f>
        <v>0</v>
      </c>
      <c r="L5" s="2024">
        <f t="shared" si="5"/>
        <v>0</v>
      </c>
      <c r="M5" s="2024">
        <f t="shared" si="5"/>
        <v>0</v>
      </c>
      <c r="N5" s="2024">
        <f t="shared" si="5"/>
        <v>0</v>
      </c>
      <c r="O5" s="2024">
        <f t="shared" si="5"/>
        <v>0</v>
      </c>
      <c r="P5" s="2024">
        <f>M5</f>
        <v>0</v>
      </c>
      <c r="Q5" s="2901"/>
      <c r="R5" s="2023">
        <f>ROUND(IF(项目基本情况!$B$8="出让",SUMPRODUCT(PRODUCT(1+K5:$K$18)),SUMPRODUCT(PRODUCT(1+K5:$K$17))),4)</f>
        <v>1.0804</v>
      </c>
      <c r="S5" s="2023">
        <f>ROUND(IF(项目基本情况!$B$8="出让",SUMPRODUCT(PRODUCT(1+L5:$L$18)),SUMPRODUCT(PRODUCT(1+L5:$L$17))),4)</f>
        <v>1.0471999999999999</v>
      </c>
      <c r="T5" s="2023">
        <f>ROUND(IF(项目基本情况!$B$8="出让",SUMPRODUCT(PRODUCT(1+M5:$M$18)),SUMPRODUCT(PRODUCT(1+M5:$M$17))),4)</f>
        <v>1.0266</v>
      </c>
      <c r="U5" s="2023">
        <f>ROUND(IF(项目基本情况!$B$8="出让",SUMPRODUCT(PRODUCT(1+N5:$N$18)),SUMPRODUCT(PRODUCT(1+N5:$N$17))),4)</f>
        <v>1.0859000000000001</v>
      </c>
      <c r="V5" s="2023">
        <f>ROUND(IF(项目基本情况!$B$8="出让",SUMPRODUCT(PRODUCT(1+O5:$O$18)),SUMPRODUCT(PRODUCT(1+O5:$O$17))),4)</f>
        <v>1.0741000000000001</v>
      </c>
      <c r="W5" s="2023">
        <f>T5</f>
        <v>1.0266</v>
      </c>
      <c r="X5" s="2901"/>
      <c r="Y5" s="2024">
        <f>IF(D5=0,0,ROUND(AVERAGE(D5:D18)/100,4))</f>
        <v>0</v>
      </c>
      <c r="Z5" s="2024">
        <f t="shared" ref="Z5:AC5" si="6">IF(E5=0,0,ROUND(AVERAGE(E5:E18)/100,4))</f>
        <v>0</v>
      </c>
      <c r="AA5" s="2024">
        <f t="shared" si="6"/>
        <v>0</v>
      </c>
      <c r="AB5" s="2024">
        <f t="shared" si="6"/>
        <v>0</v>
      </c>
      <c r="AC5" s="2024">
        <f t="shared" si="6"/>
        <v>0</v>
      </c>
      <c r="AD5" s="2024">
        <f t="shared" ref="AD5:AD17" si="7">AA5</f>
        <v>0</v>
      </c>
    </row>
    <row r="6" spans="1:30" s="2041" customFormat="1" ht="12.75">
      <c r="A6" s="2036" t="s">
        <v>3373</v>
      </c>
      <c r="B6" s="2027">
        <v>2024</v>
      </c>
      <c r="C6" s="2038">
        <v>1</v>
      </c>
      <c r="D6" s="2003">
        <v>0</v>
      </c>
      <c r="E6" s="2003">
        <v>0</v>
      </c>
      <c r="F6" s="2003">
        <v>0</v>
      </c>
      <c r="G6" s="2003">
        <v>0</v>
      </c>
      <c r="H6" s="2912">
        <v>0</v>
      </c>
      <c r="I6" s="2004">
        <v>0</v>
      </c>
      <c r="J6" s="2901"/>
      <c r="K6" s="2039">
        <f t="shared" ref="K6" si="8">D6/100</f>
        <v>0</v>
      </c>
      <c r="L6" s="2024">
        <f t="shared" ref="L6" si="9">E6/100</f>
        <v>0</v>
      </c>
      <c r="M6" s="2024">
        <f t="shared" ref="M6" si="10">F6/100</f>
        <v>0</v>
      </c>
      <c r="N6" s="2024">
        <f t="shared" ref="N6" si="11">G6/100</f>
        <v>0</v>
      </c>
      <c r="O6" s="2024">
        <f t="shared" ref="O6" si="12">H6/100</f>
        <v>0</v>
      </c>
      <c r="P6" s="2024">
        <f t="shared" ref="P6" si="13">M6</f>
        <v>0</v>
      </c>
      <c r="Q6" s="2901"/>
      <c r="R6" s="2023">
        <f>ROUND(IF(项目基本情况!$B$8="出让",SUMPRODUCT(PRODUCT(1+K6:$K$18)),SUMPRODUCT(PRODUCT(1+K6:$K$17))),4)</f>
        <v>1.0804</v>
      </c>
      <c r="S6" s="2023">
        <f>ROUND(IF(项目基本情况!$B$8="出让",SUMPRODUCT(PRODUCT(1+L6:$L$18)),SUMPRODUCT(PRODUCT(1+L6:$L$17))),4)</f>
        <v>1.0471999999999999</v>
      </c>
      <c r="T6" s="2023">
        <f>ROUND(IF(项目基本情况!$B$8="出让",SUMPRODUCT(PRODUCT(1+M6:$M$18)),SUMPRODUCT(PRODUCT(1+M6:$M$17))),4)</f>
        <v>1.0266</v>
      </c>
      <c r="U6" s="2023">
        <f>ROUND(IF(项目基本情况!$B$8="出让",SUMPRODUCT(PRODUCT(1+N6:$N$18)),SUMPRODUCT(PRODUCT(1+N6:$N$17))),4)</f>
        <v>1.0859000000000001</v>
      </c>
      <c r="V6" s="2023">
        <f>ROUND(IF(项目基本情况!$B$8="出让",SUMPRODUCT(PRODUCT(1+O6:$O$18)),SUMPRODUCT(PRODUCT(1+O6:$O$17))),4)</f>
        <v>1.0741000000000001</v>
      </c>
      <c r="W6" s="2023">
        <f t="shared" ref="W6" si="14">T6</f>
        <v>1.0266</v>
      </c>
      <c r="X6" s="2901"/>
      <c r="Y6" s="2024"/>
      <c r="Z6" s="2024"/>
      <c r="AA6" s="2024"/>
      <c r="AB6" s="2024"/>
      <c r="AC6" s="2024"/>
      <c r="AD6" s="2024"/>
    </row>
    <row r="7" spans="1:30" s="2911" customFormat="1" ht="12.75">
      <c r="A7" s="2902" t="s">
        <v>3374</v>
      </c>
      <c r="B7" s="2903">
        <v>2023</v>
      </c>
      <c r="C7" s="2904">
        <v>4</v>
      </c>
      <c r="D7" s="2905">
        <v>0.19</v>
      </c>
      <c r="E7" s="2905">
        <v>0.24</v>
      </c>
      <c r="F7" s="2905">
        <v>-0.16</v>
      </c>
      <c r="G7" s="2905">
        <v>0.17</v>
      </c>
      <c r="H7" s="2906">
        <v>0.61</v>
      </c>
      <c r="I7" s="2907">
        <f>F7</f>
        <v>-0.16</v>
      </c>
      <c r="J7" s="2908"/>
      <c r="K7" s="2909">
        <f t="shared" si="5"/>
        <v>1.9E-3</v>
      </c>
      <c r="L7" s="2910">
        <f t="shared" si="5"/>
        <v>2.3999999999999998E-3</v>
      </c>
      <c r="M7" s="2910">
        <f t="shared" si="5"/>
        <v>-1.6000000000000001E-3</v>
      </c>
      <c r="N7" s="2910">
        <f t="shared" si="5"/>
        <v>1.7000000000000001E-3</v>
      </c>
      <c r="O7" s="2910">
        <f t="shared" si="5"/>
        <v>6.0999999999999995E-3</v>
      </c>
      <c r="P7" s="2910">
        <f t="shared" ref="P7" si="15">M7</f>
        <v>-1.6000000000000001E-3</v>
      </c>
      <c r="Q7" s="2908"/>
      <c r="R7" s="2908">
        <f>ROUND(IF(项目基本情况!$B$8="出让",SUMPRODUCT(PRODUCT(1+K7:$K$18)),SUMPRODUCT(PRODUCT(1+K7:$K$17))),4)</f>
        <v>1.0804</v>
      </c>
      <c r="S7" s="2908">
        <f>ROUND(IF(项目基本情况!$B$8="出让",SUMPRODUCT(PRODUCT(1+L7:$L$18)),SUMPRODUCT(PRODUCT(1+L7:$L$17))),4)</f>
        <v>1.0471999999999999</v>
      </c>
      <c r="T7" s="2908">
        <f>ROUND(IF(项目基本情况!$B$8="出让",SUMPRODUCT(PRODUCT(1+M7:$M$18)),SUMPRODUCT(PRODUCT(1+M7:$M$17))),4)</f>
        <v>1.0266</v>
      </c>
      <c r="U7" s="2908">
        <f>ROUND(IF(项目基本情况!$B$8="出让",SUMPRODUCT(PRODUCT(1+N7:$N$18)),SUMPRODUCT(PRODUCT(1+N7:$N$17))),4)</f>
        <v>1.0859000000000001</v>
      </c>
      <c r="V7" s="2908">
        <f>ROUND(IF(项目基本情况!$B$8="出让",SUMPRODUCT(PRODUCT(1+O7:$O$18)),SUMPRODUCT(PRODUCT(1+O7:$O$17))),4)</f>
        <v>1.0741000000000001</v>
      </c>
      <c r="W7" s="2908">
        <f t="shared" ref="W7" si="16">T7</f>
        <v>1.0266</v>
      </c>
      <c r="X7" s="2908"/>
      <c r="Y7" s="2910"/>
      <c r="Z7" s="2910"/>
      <c r="AA7" s="2910"/>
      <c r="AB7" s="2910"/>
      <c r="AC7" s="2910"/>
      <c r="AD7" s="2910"/>
    </row>
    <row r="8" spans="1:30" s="2041" customFormat="1" ht="12.75">
      <c r="A8" s="2900" t="s">
        <v>3375</v>
      </c>
      <c r="B8" s="2027">
        <v>2023</v>
      </c>
      <c r="C8" s="2038">
        <v>3</v>
      </c>
      <c r="D8" s="2003">
        <v>0.25</v>
      </c>
      <c r="E8" s="2003">
        <v>0.5</v>
      </c>
      <c r="F8" s="2003">
        <v>0.31</v>
      </c>
      <c r="G8" s="2003">
        <v>0.21</v>
      </c>
      <c r="H8" s="2912">
        <v>0.43</v>
      </c>
      <c r="I8" s="2004">
        <f t="shared" si="4"/>
        <v>0.31</v>
      </c>
      <c r="J8" s="2901"/>
      <c r="K8" s="2039">
        <f t="shared" ref="K8:K10" si="17">D8/100</f>
        <v>2.5000000000000001E-3</v>
      </c>
      <c r="L8" s="2024">
        <f t="shared" ref="L8:L10" si="18">E8/100</f>
        <v>5.0000000000000001E-3</v>
      </c>
      <c r="M8" s="2024">
        <f t="shared" ref="M8:M10" si="19">F8/100</f>
        <v>3.0999999999999999E-3</v>
      </c>
      <c r="N8" s="2024">
        <f t="shared" ref="N8:N10" si="20">G8/100</f>
        <v>2.0999999999999999E-3</v>
      </c>
      <c r="O8" s="2024">
        <f t="shared" ref="O8:O10" si="21">H8/100</f>
        <v>4.3E-3</v>
      </c>
      <c r="P8" s="2024">
        <f t="shared" ref="P8:P10" si="22">M8</f>
        <v>3.0999999999999999E-3</v>
      </c>
      <c r="Q8" s="2901"/>
      <c r="R8" s="2023">
        <f>ROUND(IF(项目基本情况!$B$8="出让",SUMPRODUCT(PRODUCT(1+K8:$K$18)),SUMPRODUCT(PRODUCT(1+K8:$K$17))),4)</f>
        <v>1.0783</v>
      </c>
      <c r="S8" s="2023">
        <f>ROUND(IF(项目基本情况!$B$8="出让",SUMPRODUCT(PRODUCT(1+L8:$L$18)),SUMPRODUCT(PRODUCT(1+L8:$L$17))),4)</f>
        <v>1.0447</v>
      </c>
      <c r="T8" s="2023">
        <f>ROUND(IF(项目基本情况!$B$8="出让",SUMPRODUCT(PRODUCT(1+M8:$M$18)),SUMPRODUCT(PRODUCT(1+M8:$M$17))),4)</f>
        <v>1.0282</v>
      </c>
      <c r="U8" s="2023">
        <f>ROUND(IF(项目基本情况!$B$8="出让",SUMPRODUCT(PRODUCT(1+N8:$N$18)),SUMPRODUCT(PRODUCT(1+N8:$N$17))),4)</f>
        <v>1.0841000000000001</v>
      </c>
      <c r="V8" s="2023">
        <f>ROUND(IF(项目基本情况!$B$8="出让",SUMPRODUCT(PRODUCT(1+O8:$O$18)),SUMPRODUCT(PRODUCT(1+O8:$O$17))),4)</f>
        <v>1.0674999999999999</v>
      </c>
      <c r="W8" s="2023">
        <f t="shared" ref="W8:W9" si="23">T8</f>
        <v>1.0282</v>
      </c>
      <c r="X8" s="2901"/>
      <c r="Y8" s="2024"/>
      <c r="Z8" s="2024"/>
      <c r="AA8" s="2024"/>
      <c r="AB8" s="2024"/>
      <c r="AC8" s="2024"/>
      <c r="AD8" s="2024"/>
    </row>
    <row r="9" spans="1:30" s="2041" customFormat="1" ht="12.75">
      <c r="A9" s="2900" t="s">
        <v>3368</v>
      </c>
      <c r="B9" s="2027">
        <v>2023</v>
      </c>
      <c r="C9" s="2038">
        <v>2</v>
      </c>
      <c r="D9" s="2003">
        <v>0.91</v>
      </c>
      <c r="E9" s="2003">
        <v>0.66</v>
      </c>
      <c r="F9" s="2003">
        <v>0.47</v>
      </c>
      <c r="G9" s="2003">
        <v>0.96</v>
      </c>
      <c r="H9" s="2912">
        <v>0.71</v>
      </c>
      <c r="I9" s="2004">
        <f t="shared" si="4"/>
        <v>0.47</v>
      </c>
      <c r="J9" s="2901"/>
      <c r="K9" s="2039">
        <f t="shared" si="17"/>
        <v>9.1000000000000004E-3</v>
      </c>
      <c r="L9" s="2024">
        <f t="shared" si="18"/>
        <v>6.6E-3</v>
      </c>
      <c r="M9" s="2024">
        <f t="shared" si="19"/>
        <v>4.6999999999999993E-3</v>
      </c>
      <c r="N9" s="2024">
        <f t="shared" si="20"/>
        <v>9.5999999999999992E-3</v>
      </c>
      <c r="O9" s="2024">
        <f t="shared" si="21"/>
        <v>7.0999999999999995E-3</v>
      </c>
      <c r="P9" s="2024">
        <f t="shared" si="22"/>
        <v>4.6999999999999993E-3</v>
      </c>
      <c r="Q9" s="2901"/>
      <c r="R9" s="2023">
        <f>ROUND(IF(项目基本情况!$B$8="出让",SUMPRODUCT(PRODUCT(1+K9:$K$18)),SUMPRODUCT(PRODUCT(1+K9:$K$17))),4)</f>
        <v>1.0755999999999999</v>
      </c>
      <c r="S9" s="2023">
        <f>ROUND(IF(项目基本情况!$B$8="出让",SUMPRODUCT(PRODUCT(1+L9:$L$18)),SUMPRODUCT(PRODUCT(1+L9:$L$17))),4)</f>
        <v>1.0395000000000001</v>
      </c>
      <c r="T9" s="2023">
        <f>ROUND(IF(项目基本情况!$B$8="出让",SUMPRODUCT(PRODUCT(1+M9:$M$18)),SUMPRODUCT(PRODUCT(1+M9:$M$17))),4)</f>
        <v>1.0250999999999999</v>
      </c>
      <c r="U9" s="2023">
        <f>ROUND(IF(项目基本情况!$B$8="出让",SUMPRODUCT(PRODUCT(1+N9:$N$18)),SUMPRODUCT(PRODUCT(1+N9:$N$17))),4)</f>
        <v>1.0818000000000001</v>
      </c>
      <c r="V9" s="2023">
        <f>ROUND(IF(项目基本情况!$B$8="出让",SUMPRODUCT(PRODUCT(1+O9:$O$18)),SUMPRODUCT(PRODUCT(1+O9:$O$17))),4)</f>
        <v>1.0629999999999999</v>
      </c>
      <c r="W9" s="2023">
        <f t="shared" si="23"/>
        <v>1.0250999999999999</v>
      </c>
      <c r="X9" s="2901"/>
      <c r="Y9" s="2024"/>
      <c r="Z9" s="2024"/>
      <c r="AA9" s="2024"/>
      <c r="AB9" s="2024"/>
      <c r="AC9" s="2024"/>
      <c r="AD9" s="2024"/>
    </row>
    <row r="10" spans="1:30" s="2041" customFormat="1" ht="12.75">
      <c r="A10" s="2900" t="s">
        <v>3367</v>
      </c>
      <c r="B10" s="2027">
        <v>2023</v>
      </c>
      <c r="C10" s="2038">
        <v>1</v>
      </c>
      <c r="D10" s="2003">
        <v>0.89</v>
      </c>
      <c r="E10" s="2003">
        <v>0.74</v>
      </c>
      <c r="F10" s="2003">
        <v>0.56999999999999995</v>
      </c>
      <c r="G10" s="2003">
        <v>0.92</v>
      </c>
      <c r="H10" s="2912">
        <v>0.5</v>
      </c>
      <c r="I10" s="2004">
        <f t="shared" si="4"/>
        <v>0.56999999999999995</v>
      </c>
      <c r="J10" s="2901"/>
      <c r="K10" s="2039">
        <f t="shared" si="17"/>
        <v>8.8999999999999999E-3</v>
      </c>
      <c r="L10" s="2024">
        <f t="shared" si="18"/>
        <v>7.4000000000000003E-3</v>
      </c>
      <c r="M10" s="2024">
        <f t="shared" si="19"/>
        <v>5.6999999999999993E-3</v>
      </c>
      <c r="N10" s="2024">
        <f t="shared" si="20"/>
        <v>9.1999999999999998E-3</v>
      </c>
      <c r="O10" s="2024">
        <f t="shared" si="21"/>
        <v>5.0000000000000001E-3</v>
      </c>
      <c r="P10" s="2024">
        <f t="shared" si="22"/>
        <v>5.6999999999999993E-3</v>
      </c>
      <c r="Q10" s="2901"/>
      <c r="R10" s="2023">
        <f>ROUND(IF(项目基本情况!$B$8="出让",SUMPRODUCT(PRODUCT(1+K10:$K$18)),SUMPRODUCT(PRODUCT(1+K10:$K$17))),4)</f>
        <v>1.0659000000000001</v>
      </c>
      <c r="S10" s="2023">
        <f>ROUND(IF(项目基本情况!$B$8="出让",SUMPRODUCT(PRODUCT(1+L10:$L$18)),SUMPRODUCT(PRODUCT(1+L10:$L$17))),4)</f>
        <v>1.0326</v>
      </c>
      <c r="T10" s="2023">
        <f>ROUND(IF(项目基本情况!$B$8="出让",SUMPRODUCT(PRODUCT(1+M10:$M$18)),SUMPRODUCT(PRODUCT(1+M10:$M$17))),4)</f>
        <v>1.0203</v>
      </c>
      <c r="U10" s="2023">
        <f>ROUND(IF(项目基本情况!$B$8="出让",SUMPRODUCT(PRODUCT(1+N10:$N$18)),SUMPRODUCT(PRODUCT(1+N10:$N$17))),4)</f>
        <v>1.0714999999999999</v>
      </c>
      <c r="V10" s="2023">
        <f>ROUND(IF(项目基本情况!$B$8="出让",SUMPRODUCT(PRODUCT(1+O10:$O$18)),SUMPRODUCT(PRODUCT(1+O10:$O$17))),4)</f>
        <v>1.0555000000000001</v>
      </c>
      <c r="W10" s="2023">
        <f t="shared" ref="W10:W17" si="24">T10</f>
        <v>1.0203</v>
      </c>
      <c r="X10" s="2901"/>
      <c r="Y10" s="2024"/>
      <c r="Z10" s="2024"/>
      <c r="AA10" s="2024"/>
      <c r="AB10" s="2024"/>
      <c r="AC10" s="2024"/>
      <c r="AD10" s="2024"/>
    </row>
    <row r="11" spans="1:30" s="2041" customFormat="1" ht="12.75">
      <c r="A11" s="2900" t="s">
        <v>3366</v>
      </c>
      <c r="B11" s="2027">
        <v>2022</v>
      </c>
      <c r="C11" s="2038">
        <v>4</v>
      </c>
      <c r="D11" s="2003">
        <v>0.62</v>
      </c>
      <c r="E11" s="2003">
        <v>0.2</v>
      </c>
      <c r="F11" s="2003">
        <v>0.11</v>
      </c>
      <c r="G11" s="2003">
        <v>0.69</v>
      </c>
      <c r="H11" s="2912">
        <v>0.53</v>
      </c>
      <c r="I11" s="2004">
        <f t="shared" si="4"/>
        <v>0.11</v>
      </c>
      <c r="J11" s="2901"/>
      <c r="K11" s="2039">
        <f t="shared" si="5"/>
        <v>6.1999999999999998E-3</v>
      </c>
      <c r="L11" s="2024">
        <f t="shared" si="5"/>
        <v>2E-3</v>
      </c>
      <c r="M11" s="2024">
        <f t="shared" si="5"/>
        <v>1.1000000000000001E-3</v>
      </c>
      <c r="N11" s="2024">
        <f t="shared" si="5"/>
        <v>6.8999999999999999E-3</v>
      </c>
      <c r="O11" s="2024">
        <f t="shared" si="5"/>
        <v>5.3E-3</v>
      </c>
      <c r="P11" s="2024">
        <f t="shared" ref="P11:P18" si="25">M11</f>
        <v>1.1000000000000001E-3</v>
      </c>
      <c r="Q11" s="2901"/>
      <c r="R11" s="2023">
        <f>ROUND(IF(项目基本情况!$B$8="出让",SUMPRODUCT(PRODUCT(1+K11:$K$18)),SUMPRODUCT(PRODUCT(1+K11:$K$17))),4)</f>
        <v>1.0565</v>
      </c>
      <c r="S11" s="2023">
        <f>ROUND(IF(项目基本情况!$B$8="出让",SUMPRODUCT(PRODUCT(1+L11:$L$18)),SUMPRODUCT(PRODUCT(1+L11:$L$17))),4)</f>
        <v>1.0250999999999999</v>
      </c>
      <c r="T11" s="2023">
        <f>ROUND(IF(项目基本情况!$B$8="出让",SUMPRODUCT(PRODUCT(1+M11:$M$18)),SUMPRODUCT(PRODUCT(1+M11:$M$17))),4)</f>
        <v>1.0145</v>
      </c>
      <c r="U11" s="2023">
        <f>ROUND(IF(项目基本情况!$B$8="出让",SUMPRODUCT(PRODUCT(1+N11:$N$18)),SUMPRODUCT(PRODUCT(1+N11:$N$17))),4)</f>
        <v>1.0618000000000001</v>
      </c>
      <c r="V11" s="2023">
        <f>ROUND(IF(项目基本情况!$B$8="出让",SUMPRODUCT(PRODUCT(1+O11:$O$18)),SUMPRODUCT(PRODUCT(1+O11:$O$17))),4)</f>
        <v>1.0502</v>
      </c>
      <c r="W11" s="2023">
        <f t="shared" si="24"/>
        <v>1.0145</v>
      </c>
      <c r="X11" s="2901"/>
      <c r="Y11" s="2024">
        <f>IF(D11=0,0,ROUND(AVERAGE(D11:D19)/100,4))</f>
        <v>8.0999999999999996E-3</v>
      </c>
      <c r="Z11" s="2024">
        <f t="shared" ref="Z11:AC11" si="26">IF(E11=0,0,ROUND(AVERAGE(E11:E18)/100,4))</f>
        <v>3.3E-3</v>
      </c>
      <c r="AA11" s="2024">
        <f t="shared" si="26"/>
        <v>1.5E-3</v>
      </c>
      <c r="AB11" s="2024">
        <f t="shared" si="26"/>
        <v>8.8999999999999999E-3</v>
      </c>
      <c r="AC11" s="2024">
        <f t="shared" si="26"/>
        <v>6.6E-3</v>
      </c>
      <c r="AD11" s="2024">
        <f t="shared" si="7"/>
        <v>1.5E-3</v>
      </c>
    </row>
    <row r="12" spans="1:30" s="2041" customFormat="1" ht="12.75">
      <c r="A12" s="2900" t="s">
        <v>3362</v>
      </c>
      <c r="B12" s="2027">
        <v>2022</v>
      </c>
      <c r="C12" s="2038">
        <v>3</v>
      </c>
      <c r="D12" s="2003">
        <v>0.66</v>
      </c>
      <c r="E12" s="2003">
        <v>0.32</v>
      </c>
      <c r="F12" s="2003">
        <v>0.23</v>
      </c>
      <c r="G12" s="2003">
        <v>0.72</v>
      </c>
      <c r="H12" s="2912">
        <v>0.63</v>
      </c>
      <c r="I12" s="2004">
        <f t="shared" si="4"/>
        <v>0.23</v>
      </c>
      <c r="J12" s="2901"/>
      <c r="K12" s="2039">
        <f t="shared" si="5"/>
        <v>6.6E-3</v>
      </c>
      <c r="L12" s="2024">
        <f t="shared" si="5"/>
        <v>3.2000000000000002E-3</v>
      </c>
      <c r="M12" s="2024">
        <f t="shared" si="5"/>
        <v>2.3E-3</v>
      </c>
      <c r="N12" s="2024">
        <f t="shared" si="5"/>
        <v>7.1999999999999998E-3</v>
      </c>
      <c r="O12" s="2024">
        <f t="shared" si="5"/>
        <v>6.3E-3</v>
      </c>
      <c r="P12" s="2024">
        <f t="shared" si="25"/>
        <v>2.3E-3</v>
      </c>
      <c r="Q12" s="2901"/>
      <c r="R12" s="2023">
        <f>ROUND(IF(项目基本情况!$B$8="出让",SUMPRODUCT(PRODUCT(1+K12:$K$18)),SUMPRODUCT(PRODUCT(1+K12:$K$17))),4)</f>
        <v>1.05</v>
      </c>
      <c r="S12" s="2023">
        <f>ROUND(IF(项目基本情况!$B$8="出让",SUMPRODUCT(PRODUCT(1+L12:$L$18)),SUMPRODUCT(PRODUCT(1+L12:$L$17))),4)</f>
        <v>1.0229999999999999</v>
      </c>
      <c r="T12" s="2023">
        <f>ROUND(IF(项目基本情况!$B$8="出让",SUMPRODUCT(PRODUCT(1+M12:$M$18)),SUMPRODUCT(PRODUCT(1+M12:$M$17))),4)</f>
        <v>1.0134000000000001</v>
      </c>
      <c r="U12" s="2023">
        <f>ROUND(IF(项目基本情况!$B$8="出让",SUMPRODUCT(PRODUCT(1+N12:$N$18)),SUMPRODUCT(PRODUCT(1+N12:$N$17))),4)</f>
        <v>1.0545</v>
      </c>
      <c r="V12" s="2023">
        <f>ROUND(IF(项目基本情况!$B$8="出让",SUMPRODUCT(PRODUCT(1+O12:$O$18)),SUMPRODUCT(PRODUCT(1+O12:$O$17))),4)</f>
        <v>1.0447</v>
      </c>
      <c r="W12" s="2023">
        <f t="shared" si="24"/>
        <v>1.0134000000000001</v>
      </c>
      <c r="X12" s="2901"/>
      <c r="Y12" s="2024">
        <f>IF(D12=0,0,ROUND(AVERAGE(D12:D18)/100,4))</f>
        <v>8.3999999999999995E-3</v>
      </c>
      <c r="Z12" s="2024">
        <f t="shared" ref="Z12:AC12" si="27">IF(E12=0,0,ROUND(AVERAGE(E12:E18)/100,4))</f>
        <v>3.5000000000000001E-3</v>
      </c>
      <c r="AA12" s="2024">
        <f t="shared" si="27"/>
        <v>1.5E-3</v>
      </c>
      <c r="AB12" s="2024">
        <f t="shared" si="27"/>
        <v>9.1999999999999998E-3</v>
      </c>
      <c r="AC12" s="2024">
        <f t="shared" si="27"/>
        <v>6.7999999999999996E-3</v>
      </c>
      <c r="AD12" s="2024">
        <f t="shared" si="7"/>
        <v>1.5E-3</v>
      </c>
    </row>
    <row r="13" spans="1:30" s="2041" customFormat="1" ht="12.75">
      <c r="A13" s="2900" t="s">
        <v>3353</v>
      </c>
      <c r="B13" s="2027">
        <v>2022</v>
      </c>
      <c r="C13" s="2038">
        <v>2</v>
      </c>
      <c r="D13" s="2003">
        <v>0.93</v>
      </c>
      <c r="E13" s="2003">
        <v>0.15</v>
      </c>
      <c r="F13" s="2003">
        <v>0.01</v>
      </c>
      <c r="G13" s="2003">
        <v>1.05</v>
      </c>
      <c r="H13" s="2912">
        <v>1.08</v>
      </c>
      <c r="I13" s="2004">
        <f t="shared" si="4"/>
        <v>0.01</v>
      </c>
      <c r="J13" s="2901"/>
      <c r="K13" s="2039">
        <f t="shared" si="5"/>
        <v>9.300000000000001E-3</v>
      </c>
      <c r="L13" s="2024">
        <f t="shared" si="5"/>
        <v>1.5E-3</v>
      </c>
      <c r="M13" s="2024">
        <f t="shared" si="5"/>
        <v>1E-4</v>
      </c>
      <c r="N13" s="2024">
        <f t="shared" si="5"/>
        <v>1.0500000000000001E-2</v>
      </c>
      <c r="O13" s="2024">
        <f t="shared" si="5"/>
        <v>1.0800000000000001E-2</v>
      </c>
      <c r="P13" s="2024">
        <f t="shared" si="25"/>
        <v>1E-4</v>
      </c>
      <c r="Q13" s="2901"/>
      <c r="R13" s="2023">
        <f>ROUND(IF(项目基本情况!$B$8="出让",SUMPRODUCT(PRODUCT(1+K13:$K$18)),SUMPRODUCT(PRODUCT(1+K13:$K$17))),4)</f>
        <v>1.0430999999999999</v>
      </c>
      <c r="S13" s="2023">
        <f>ROUND(IF(项目基本情况!$B$8="出让",SUMPRODUCT(PRODUCT(1+L13:$L$18)),SUMPRODUCT(PRODUCT(1+L13:$L$17))),4)</f>
        <v>1.0197000000000001</v>
      </c>
      <c r="T13" s="2023">
        <f>ROUND(IF(项目基本情况!$B$8="出让",SUMPRODUCT(PRODUCT(1+M13:$M$18)),SUMPRODUCT(PRODUCT(1+M13:$M$17))),4)</f>
        <v>1.0109999999999999</v>
      </c>
      <c r="U13" s="2023">
        <f>ROUND(IF(项目基本情况!$B$8="出让",SUMPRODUCT(PRODUCT(1+N13:$N$18)),SUMPRODUCT(PRODUCT(1+N13:$N$17))),4)</f>
        <v>1.0468999999999999</v>
      </c>
      <c r="V13" s="2023">
        <f>ROUND(IF(项目基本情况!$B$8="出让",SUMPRODUCT(PRODUCT(1+O13:$O$18)),SUMPRODUCT(PRODUCT(1+O13:$O$17))),4)</f>
        <v>1.0382</v>
      </c>
      <c r="W13" s="2023">
        <f t="shared" si="24"/>
        <v>1.0109999999999999</v>
      </c>
      <c r="X13" s="2901"/>
      <c r="Y13" s="2024">
        <f>IF(D13=0,0,ROUND(AVERAGE(D13:D18)/100,4))</f>
        <v>8.6999999999999994E-3</v>
      </c>
      <c r="Z13" s="2024">
        <f t="shared" ref="Z13:AC13" si="28">IF(E13=0,0,ROUND(AVERAGE(E13:E18)/100,4))</f>
        <v>3.5000000000000001E-3</v>
      </c>
      <c r="AA13" s="2024">
        <f t="shared" si="28"/>
        <v>1.4E-3</v>
      </c>
      <c r="AB13" s="2024">
        <f t="shared" si="28"/>
        <v>9.4999999999999998E-3</v>
      </c>
      <c r="AC13" s="2024">
        <f t="shared" si="28"/>
        <v>6.8999999999999999E-3</v>
      </c>
      <c r="AD13" s="2024">
        <f t="shared" si="7"/>
        <v>1.4E-3</v>
      </c>
    </row>
    <row r="14" spans="1:30" s="2041" customFormat="1" ht="12.75">
      <c r="A14" s="2900" t="s">
        <v>2818</v>
      </c>
      <c r="B14" s="2027">
        <v>2022</v>
      </c>
      <c r="C14" s="2038">
        <v>1</v>
      </c>
      <c r="D14" s="2003">
        <v>0.89</v>
      </c>
      <c r="E14" s="2003">
        <v>0.44</v>
      </c>
      <c r="F14" s="2003">
        <v>0.37</v>
      </c>
      <c r="G14" s="2003">
        <v>0.96</v>
      </c>
      <c r="H14" s="2912">
        <v>0.64</v>
      </c>
      <c r="I14" s="2004">
        <f t="shared" si="4"/>
        <v>0.37</v>
      </c>
      <c r="J14" s="2901"/>
      <c r="K14" s="2039">
        <f t="shared" si="5"/>
        <v>8.8999999999999999E-3</v>
      </c>
      <c r="L14" s="2024">
        <f t="shared" si="5"/>
        <v>4.4000000000000003E-3</v>
      </c>
      <c r="M14" s="2024">
        <f t="shared" si="5"/>
        <v>3.7000000000000002E-3</v>
      </c>
      <c r="N14" s="2024">
        <f t="shared" si="5"/>
        <v>9.5999999999999992E-3</v>
      </c>
      <c r="O14" s="2024">
        <f t="shared" si="5"/>
        <v>6.4000000000000003E-3</v>
      </c>
      <c r="P14" s="2024">
        <f t="shared" si="25"/>
        <v>3.7000000000000002E-3</v>
      </c>
      <c r="Q14" s="2901"/>
      <c r="R14" s="2023">
        <f>ROUND(IF(项目基本情况!$B$8="出让",SUMPRODUCT(PRODUCT(1+K14:$K$18)),SUMPRODUCT(PRODUCT(1+K14:$K$17))),4)</f>
        <v>1.0335000000000001</v>
      </c>
      <c r="S14" s="2023">
        <f>ROUND(IF(项目基本情况!$B$8="出让",SUMPRODUCT(PRODUCT(1+L14:$L$18)),SUMPRODUCT(PRODUCT(1+L14:$L$17))),4)</f>
        <v>1.0182</v>
      </c>
      <c r="T14" s="2023">
        <f>ROUND(IF(项目基本情况!$B$8="出让",SUMPRODUCT(PRODUCT(1+M14:$M$18)),SUMPRODUCT(PRODUCT(1+M14:$M$17))),4)</f>
        <v>1.0108999999999999</v>
      </c>
      <c r="U14" s="2023">
        <f>ROUND(IF(项目基本情况!$B$8="出让",SUMPRODUCT(PRODUCT(1+N14:$N$18)),SUMPRODUCT(PRODUCT(1+N14:$N$17))),4)</f>
        <v>1.0361</v>
      </c>
      <c r="V14" s="2023">
        <f>ROUND(IF(项目基本情况!$B$8="出让",SUMPRODUCT(PRODUCT(1+O14:$O$18)),SUMPRODUCT(PRODUCT(1+O14:$O$17))),4)</f>
        <v>1.0270999999999999</v>
      </c>
      <c r="W14" s="2023">
        <f t="shared" si="24"/>
        <v>1.0108999999999999</v>
      </c>
      <c r="X14" s="2901"/>
      <c r="Y14" s="2024">
        <f>IF(D14=0,0,ROUND(AVERAGE(D14:D18)/100,4))</f>
        <v>8.6E-3</v>
      </c>
      <c r="Z14" s="2024">
        <f t="shared" ref="Z14:AC14" si="29">IF(E14=0,0,ROUND(AVERAGE(E14:E18)/100,4))</f>
        <v>3.8999999999999998E-3</v>
      </c>
      <c r="AA14" s="2024">
        <f t="shared" si="29"/>
        <v>1.6999999999999999E-3</v>
      </c>
      <c r="AB14" s="2024">
        <f t="shared" si="29"/>
        <v>9.2999999999999992E-3</v>
      </c>
      <c r="AC14" s="2024">
        <f t="shared" si="29"/>
        <v>6.1000000000000004E-3</v>
      </c>
      <c r="AD14" s="2024">
        <f t="shared" si="7"/>
        <v>1.6999999999999999E-3</v>
      </c>
    </row>
    <row r="15" spans="1:30" s="2041" customFormat="1" ht="12.75">
      <c r="A15" s="2900" t="s">
        <v>2819</v>
      </c>
      <c r="B15" s="2027">
        <v>2021</v>
      </c>
      <c r="C15" s="2038">
        <v>4</v>
      </c>
      <c r="D15" s="2003">
        <v>1.03</v>
      </c>
      <c r="E15" s="2003">
        <v>0.24</v>
      </c>
      <c r="F15" s="2003">
        <v>7.0000000000000007E-2</v>
      </c>
      <c r="G15" s="2003">
        <v>1.17</v>
      </c>
      <c r="H15" s="2912">
        <v>0.55000000000000004</v>
      </c>
      <c r="I15" s="2004">
        <f t="shared" si="4"/>
        <v>7.0000000000000007E-2</v>
      </c>
      <c r="J15" s="2901"/>
      <c r="K15" s="2039">
        <f t="shared" si="5"/>
        <v>1.03E-2</v>
      </c>
      <c r="L15" s="2024">
        <f t="shared" si="5"/>
        <v>2.3999999999999998E-3</v>
      </c>
      <c r="M15" s="2024">
        <f t="shared" si="5"/>
        <v>7.000000000000001E-4</v>
      </c>
      <c r="N15" s="2024">
        <f t="shared" si="5"/>
        <v>1.1699999999999999E-2</v>
      </c>
      <c r="O15" s="2024">
        <f t="shared" si="5"/>
        <v>5.5000000000000005E-3</v>
      </c>
      <c r="P15" s="2024">
        <f t="shared" si="25"/>
        <v>7.000000000000001E-4</v>
      </c>
      <c r="Q15" s="2901"/>
      <c r="R15" s="2023">
        <f>ROUND(IF(项目基本情况!$B$8="出让",SUMPRODUCT(PRODUCT(1+K15:$K$18)),SUMPRODUCT(PRODUCT(1+K15:$K$17))),4)</f>
        <v>1.0244</v>
      </c>
      <c r="S15" s="2023">
        <f>ROUND(IF(项目基本情况!$B$8="出让",SUMPRODUCT(PRODUCT(1+L15:$L$18)),SUMPRODUCT(PRODUCT(1+L15:$L$17))),4)</f>
        <v>1.0138</v>
      </c>
      <c r="T15" s="2023">
        <f>ROUND(IF(项目基本情况!$B$8="出让",SUMPRODUCT(PRODUCT(1+M15:$M$18)),SUMPRODUCT(PRODUCT(1+M15:$M$17))),4)</f>
        <v>1.0072000000000001</v>
      </c>
      <c r="U15" s="2023">
        <f>ROUND(IF(项目基本情况!$B$8="出让",SUMPRODUCT(PRODUCT(1+N15:$N$18)),SUMPRODUCT(PRODUCT(1+N15:$N$17))),4)</f>
        <v>1.0262</v>
      </c>
      <c r="V15" s="2023">
        <f>ROUND(IF(项目基本情况!$B$8="出让",SUMPRODUCT(PRODUCT(1+O15:$O$18)),SUMPRODUCT(PRODUCT(1+O15:$O$17))),4)</f>
        <v>1.0205</v>
      </c>
      <c r="W15" s="2023">
        <f t="shared" si="24"/>
        <v>1.0072000000000001</v>
      </c>
      <c r="X15" s="2901"/>
      <c r="Y15" s="2024">
        <f>IF(D15=0,0,ROUND(AVERAGE(D15:D18)/100,4))</f>
        <v>8.5000000000000006E-3</v>
      </c>
      <c r="Z15" s="2024">
        <f t="shared" ref="Z15:AC15" si="30">IF(E15=0,0,ROUND(AVERAGE(E15:E18)/100,4))</f>
        <v>3.8E-3</v>
      </c>
      <c r="AA15" s="2024">
        <f t="shared" si="30"/>
        <v>1.1999999999999999E-3</v>
      </c>
      <c r="AB15" s="2024">
        <f t="shared" si="30"/>
        <v>9.2999999999999992E-3</v>
      </c>
      <c r="AC15" s="2024">
        <f t="shared" si="30"/>
        <v>6.0000000000000001E-3</v>
      </c>
      <c r="AD15" s="2024">
        <f t="shared" si="7"/>
        <v>1.1999999999999999E-3</v>
      </c>
    </row>
    <row r="16" spans="1:30" s="2041" customFormat="1" ht="12.75">
      <c r="A16" s="2900" t="s">
        <v>2820</v>
      </c>
      <c r="B16" s="2027">
        <v>2021</v>
      </c>
      <c r="C16" s="2038">
        <v>3</v>
      </c>
      <c r="D16" s="2003">
        <v>0.47</v>
      </c>
      <c r="E16" s="2003">
        <v>0.41</v>
      </c>
      <c r="F16" s="2003">
        <v>0.24</v>
      </c>
      <c r="G16" s="2003">
        <v>0.48</v>
      </c>
      <c r="H16" s="2912">
        <v>0.48</v>
      </c>
      <c r="I16" s="2004">
        <f t="shared" si="4"/>
        <v>0.24</v>
      </c>
      <c r="J16" s="2901"/>
      <c r="K16" s="2039">
        <f t="shared" si="5"/>
        <v>4.6999999999999993E-3</v>
      </c>
      <c r="L16" s="2024">
        <f t="shared" si="5"/>
        <v>4.0999999999999995E-3</v>
      </c>
      <c r="M16" s="2024">
        <f t="shared" si="5"/>
        <v>2.3999999999999998E-3</v>
      </c>
      <c r="N16" s="2024">
        <f t="shared" si="5"/>
        <v>4.7999999999999996E-3</v>
      </c>
      <c r="O16" s="2024">
        <f t="shared" si="5"/>
        <v>4.7999999999999996E-3</v>
      </c>
      <c r="P16" s="2024">
        <f t="shared" si="25"/>
        <v>2.3999999999999998E-3</v>
      </c>
      <c r="Q16" s="2901"/>
      <c r="R16" s="2023">
        <f>ROUND(IF(项目基本情况!$B$8="出让",SUMPRODUCT(PRODUCT(1+K16:$K$18)),SUMPRODUCT(PRODUCT(1+K16:$K$17))),4)</f>
        <v>1.0139</v>
      </c>
      <c r="S16" s="2023">
        <f>ROUND(IF(项目基本情况!$B$8="出让",SUMPRODUCT(PRODUCT(1+L16:$L$18)),SUMPRODUCT(PRODUCT(1+L16:$L$17))),4)</f>
        <v>1.0113000000000001</v>
      </c>
      <c r="T16" s="2023">
        <f>ROUND(IF(项目基本情况!$B$8="出让",SUMPRODUCT(PRODUCT(1+M16:$M$18)),SUMPRODUCT(PRODUCT(1+M16:$M$17))),4)</f>
        <v>1.0065</v>
      </c>
      <c r="U16" s="2023">
        <f>ROUND(IF(项目基本情况!$B$8="出让",SUMPRODUCT(PRODUCT(1+N16:$N$18)),SUMPRODUCT(PRODUCT(1+N16:$N$17))),4)</f>
        <v>1.0143</v>
      </c>
      <c r="V16" s="2023">
        <f>ROUND(IF(项目基本情况!$B$8="出让",SUMPRODUCT(PRODUCT(1+O16:$O$18)),SUMPRODUCT(PRODUCT(1+O16:$O$17))),4)</f>
        <v>1.0148999999999999</v>
      </c>
      <c r="W16" s="2023">
        <f t="shared" si="24"/>
        <v>1.0065</v>
      </c>
      <c r="X16" s="2901"/>
      <c r="Y16" s="2024">
        <f>IF(D16=0,0,ROUND(AVERAGE(D16:D18)/100,4))</f>
        <v>7.9000000000000008E-3</v>
      </c>
      <c r="Z16" s="2024">
        <f>IF(E16=0,0,ROUND(AVERAGE(E16:E18)/100,4))</f>
        <v>4.3E-3</v>
      </c>
      <c r="AA16" s="2024">
        <f>IF(F16=0,0,ROUND(AVERAGE(F16:F18)/100,4))</f>
        <v>1.2999999999999999E-3</v>
      </c>
      <c r="AB16" s="2024">
        <f>IF(G16=0,0,ROUND(AVERAGE(G16:G18)/100,4))</f>
        <v>8.5000000000000006E-3</v>
      </c>
      <c r="AC16" s="2024">
        <f>IF(H16=0,0,ROUND(AVERAGE(H16:H18)/100,4))</f>
        <v>6.1999999999999998E-3</v>
      </c>
      <c r="AD16" s="2024">
        <f t="shared" si="7"/>
        <v>1.2999999999999999E-3</v>
      </c>
    </row>
    <row r="17" spans="1:30" s="2041" customFormat="1" ht="12.75">
      <c r="A17" s="2900" t="s">
        <v>2821</v>
      </c>
      <c r="B17" s="2027">
        <v>2021</v>
      </c>
      <c r="C17" s="2038">
        <v>2</v>
      </c>
      <c r="D17" s="2003">
        <v>0.92</v>
      </c>
      <c r="E17" s="2003">
        <v>0.72</v>
      </c>
      <c r="F17" s="2003">
        <v>0.41</v>
      </c>
      <c r="G17" s="2003">
        <v>0.95</v>
      </c>
      <c r="H17" s="2912">
        <v>1.01</v>
      </c>
      <c r="I17" s="2004">
        <f t="shared" si="4"/>
        <v>0.41</v>
      </c>
      <c r="J17" s="2901"/>
      <c r="K17" s="2039">
        <f t="shared" si="5"/>
        <v>9.1999999999999998E-3</v>
      </c>
      <c r="L17" s="2024">
        <f t="shared" si="5"/>
        <v>7.1999999999999998E-3</v>
      </c>
      <c r="M17" s="2024">
        <f t="shared" si="5"/>
        <v>4.0999999999999995E-3</v>
      </c>
      <c r="N17" s="2024">
        <f t="shared" si="5"/>
        <v>9.4999999999999998E-3</v>
      </c>
      <c r="O17" s="2024">
        <f t="shared" si="5"/>
        <v>1.01E-2</v>
      </c>
      <c r="P17" s="2024">
        <f t="shared" si="25"/>
        <v>4.0999999999999995E-3</v>
      </c>
      <c r="Q17" s="2901"/>
      <c r="R17" s="2023">
        <f>ROUND(IF(项目基本情况!$B$8="出让",SUMPRODUCT(PRODUCT(1+K17:$K$18)),SUMPRODUCT(PRODUCT(1+K17:$K$17))),4)</f>
        <v>1.0092000000000001</v>
      </c>
      <c r="S17" s="2023">
        <f>ROUND(IF(项目基本情况!$B$8="出让",SUMPRODUCT(PRODUCT(1+L17:$L$18)),SUMPRODUCT(PRODUCT(1+L17:$L$17))),4)</f>
        <v>1.0072000000000001</v>
      </c>
      <c r="T17" s="2023">
        <f>ROUND(IF(项目基本情况!$B$8="出让",SUMPRODUCT(PRODUCT(1+M17:$M$18)),SUMPRODUCT(PRODUCT(1+M17:$M$17))),4)</f>
        <v>1.0041</v>
      </c>
      <c r="U17" s="2023">
        <f>ROUND(IF(项目基本情况!$B$8="出让",SUMPRODUCT(PRODUCT(1+N17:$N$18)),SUMPRODUCT(PRODUCT(1+N17:$N$17))),4)</f>
        <v>1.0095000000000001</v>
      </c>
      <c r="V17" s="2023">
        <f>ROUND(IF(项目基本情况!$B$8="出让",SUMPRODUCT(PRODUCT(1+O17:$O$18)),SUMPRODUCT(PRODUCT(1+O17:$O$17))),4)</f>
        <v>1.0101</v>
      </c>
      <c r="W17" s="2023">
        <f t="shared" si="24"/>
        <v>1.0041</v>
      </c>
      <c r="X17" s="2901"/>
      <c r="Y17" s="2024">
        <f>IF(D17=0,0,ROUND(AVERAGE(D17:D18)/100,4))</f>
        <v>9.4999999999999998E-3</v>
      </c>
      <c r="Z17" s="2024">
        <f>IF(E17=0,0,ROUND(AVERAGE(E17:E18)/100,4))</f>
        <v>4.4000000000000003E-3</v>
      </c>
      <c r="AA17" s="2024">
        <f>IF(F17=0,0,ROUND(AVERAGE(F17:F18)/100,4))</f>
        <v>8.0000000000000004E-4</v>
      </c>
      <c r="AB17" s="2024">
        <f>IF(G17=0,0,ROUND(AVERAGE(G17:G18)/100,4))</f>
        <v>1.03E-2</v>
      </c>
      <c r="AC17" s="2024">
        <f>IF(H17=0,0,ROUND(AVERAGE(H17:H18)/100,4))</f>
        <v>6.8999999999999999E-3</v>
      </c>
      <c r="AD17" s="2024">
        <f t="shared" si="7"/>
        <v>8.0000000000000004E-4</v>
      </c>
    </row>
    <row r="18" spans="1:30" s="2923" customFormat="1" thickBot="1">
      <c r="A18" s="2913" t="s">
        <v>2822</v>
      </c>
      <c r="B18" s="2914">
        <v>2021</v>
      </c>
      <c r="C18" s="2915">
        <v>1</v>
      </c>
      <c r="D18" s="2916">
        <v>0.97</v>
      </c>
      <c r="E18" s="2916">
        <v>0.16</v>
      </c>
      <c r="F18" s="2916">
        <v>-0.25</v>
      </c>
      <c r="G18" s="2916">
        <v>1.1100000000000001</v>
      </c>
      <c r="H18" s="2917">
        <v>0.36</v>
      </c>
      <c r="I18" s="2918">
        <f t="shared" si="4"/>
        <v>-0.25</v>
      </c>
      <c r="J18" s="2919"/>
      <c r="K18" s="2920">
        <f t="shared" si="5"/>
        <v>9.7000000000000003E-3</v>
      </c>
      <c r="L18" s="2921">
        <f t="shared" si="5"/>
        <v>1.6000000000000001E-3</v>
      </c>
      <c r="M18" s="2921">
        <f>F18/100</f>
        <v>-2.5000000000000001E-3</v>
      </c>
      <c r="N18" s="2921">
        <f t="shared" si="5"/>
        <v>1.11E-2</v>
      </c>
      <c r="O18" s="2921">
        <f t="shared" si="5"/>
        <v>3.5999999999999999E-3</v>
      </c>
      <c r="P18" s="2921">
        <f t="shared" si="25"/>
        <v>-2.5000000000000001E-3</v>
      </c>
      <c r="Q18" s="2919"/>
      <c r="R18" s="2922">
        <v>1</v>
      </c>
      <c r="S18" s="2922">
        <v>1</v>
      </c>
      <c r="T18" s="2922">
        <v>1</v>
      </c>
      <c r="U18" s="2922">
        <v>1</v>
      </c>
      <c r="V18" s="2922">
        <v>1</v>
      </c>
      <c r="W18" s="2922">
        <f t="shared" ref="W18" si="31">T18</f>
        <v>1</v>
      </c>
      <c r="X18" s="2919"/>
      <c r="Y18" s="2921">
        <f>IF(D18=0,0,ROUND(AVERAGE(D18:D18)/100,4))</f>
        <v>9.7000000000000003E-3</v>
      </c>
      <c r="Z18" s="2921">
        <f>IF(E18=0,0,ROUND(AVERAGE(E18:E18)/100,4))</f>
        <v>1.6000000000000001E-3</v>
      </c>
      <c r="AA18" s="2921">
        <f>IF(F18=0,0,ROUND(AVERAGE(F18:F18)/100,4))</f>
        <v>-2.5000000000000001E-3</v>
      </c>
      <c r="AB18" s="2921">
        <f>IF(G18=0,0,ROUND(AVERAGE(G18:G18)/100,4))</f>
        <v>1.11E-2</v>
      </c>
      <c r="AC18" s="2921">
        <f>IF(H18=0,0,ROUND(AVERAGE(H18:H18)/100,4))</f>
        <v>3.5999999999999999E-3</v>
      </c>
      <c r="AD18" s="2921">
        <f>AA18</f>
        <v>-2.5000000000000001E-3</v>
      </c>
    </row>
    <row r="19" spans="1:30" ht="14.25" thickTop="1"/>
    <row r="20" spans="1:30">
      <c r="A20" s="3138" t="s">
        <v>3364</v>
      </c>
    </row>
    <row r="21" spans="1:30">
      <c r="I21" s="1404" t="s">
        <v>2823</v>
      </c>
    </row>
    <row r="23" spans="1:30" s="2005" customFormat="1" ht="12.75">
      <c r="B23" s="2924" t="s">
        <v>3370</v>
      </c>
      <c r="C23" s="2925"/>
      <c r="D23" s="2925"/>
      <c r="E23" s="2925"/>
      <c r="F23" s="2925"/>
      <c r="G23" s="2925"/>
      <c r="H23" s="2925"/>
      <c r="I23" s="2925"/>
      <c r="J23" s="2891"/>
      <c r="K23" s="2925" t="s">
        <v>2824</v>
      </c>
      <c r="L23" s="2925"/>
      <c r="M23" s="2925"/>
      <c r="N23" s="2925"/>
      <c r="O23" s="2925"/>
      <c r="P23" s="2925"/>
      <c r="Q23" s="2891"/>
      <c r="R23" s="3603" t="s">
        <v>2825</v>
      </c>
      <c r="S23" s="3604"/>
      <c r="T23" s="3604"/>
      <c r="U23" s="3604"/>
      <c r="V23" s="3604"/>
      <c r="W23" s="3604"/>
      <c r="X23" s="2891"/>
      <c r="Y23" s="3603" t="s">
        <v>2826</v>
      </c>
      <c r="Z23" s="3604"/>
      <c r="AA23" s="3604"/>
      <c r="AB23" s="3604"/>
      <c r="AC23" s="3604"/>
      <c r="AD23" s="3604"/>
    </row>
    <row r="24" spans="1:30" s="2006" customFormat="1" ht="14.25" thickBot="1">
      <c r="B24" s="2876"/>
      <c r="C24" s="2877"/>
      <c r="D24" s="2007" t="s">
        <v>2827</v>
      </c>
      <c r="E24" s="2008" t="s">
        <v>2828</v>
      </c>
      <c r="F24" s="2008" t="s">
        <v>2829</v>
      </c>
      <c r="G24" s="2008" t="s">
        <v>2830</v>
      </c>
      <c r="H24" s="2008"/>
      <c r="I24" s="2008" t="s">
        <v>2831</v>
      </c>
      <c r="J24" s="2878"/>
      <c r="K24" s="2007" t="s">
        <v>2827</v>
      </c>
      <c r="L24" s="2008" t="s">
        <v>2828</v>
      </c>
      <c r="M24" s="2008" t="s">
        <v>2829</v>
      </c>
      <c r="N24" s="2008" t="s">
        <v>2830</v>
      </c>
      <c r="O24" s="2008"/>
      <c r="P24" s="2008" t="s">
        <v>2831</v>
      </c>
      <c r="Q24" s="2878"/>
      <c r="R24" s="2007" t="s">
        <v>2827</v>
      </c>
      <c r="S24" s="2008" t="s">
        <v>2828</v>
      </c>
      <c r="T24" s="2008" t="s">
        <v>2829</v>
      </c>
      <c r="U24" s="2008" t="s">
        <v>2830</v>
      </c>
      <c r="V24" s="2008"/>
      <c r="W24" s="2008" t="s">
        <v>2831</v>
      </c>
      <c r="X24" s="2878"/>
      <c r="Y24" s="2007" t="s">
        <v>2827</v>
      </c>
      <c r="Z24" s="2008" t="s">
        <v>2828</v>
      </c>
      <c r="AA24" s="2008" t="s">
        <v>2829</v>
      </c>
      <c r="AB24" s="2008" t="s">
        <v>2830</v>
      </c>
      <c r="AC24" s="2008"/>
      <c r="AD24" s="2008" t="s">
        <v>2831</v>
      </c>
    </row>
    <row r="25" spans="1:30" s="2881" customFormat="1" ht="12.75">
      <c r="A25" s="2879" t="s">
        <v>2832</v>
      </c>
      <c r="B25" s="2880"/>
      <c r="E25" s="2881">
        <f t="shared" ref="E25:G25" si="32">ROUND(AVERAGEIF(E26:E40,"&lt;&gt;0"),2)</f>
        <v>0.39</v>
      </c>
      <c r="F25" s="2881">
        <f t="shared" si="32"/>
        <v>0.28000000000000003</v>
      </c>
      <c r="G25" s="2881">
        <f t="shared" si="32"/>
        <v>0.67</v>
      </c>
      <c r="I25" s="2881">
        <f>F25</f>
        <v>0.28000000000000003</v>
      </c>
      <c r="J25" s="2882"/>
      <c r="K25" s="2883"/>
      <c r="L25" s="2884">
        <f t="shared" ref="L25:N25" si="33">ROUND(AVERAGEIF(L26:L40,"&lt;&gt;0"),4)</f>
        <v>3.8999999999999998E-3</v>
      </c>
      <c r="M25" s="2884">
        <f t="shared" si="33"/>
        <v>2.8E-3</v>
      </c>
      <c r="N25" s="2884">
        <f t="shared" si="33"/>
        <v>6.7000000000000002E-3</v>
      </c>
      <c r="O25" s="2884"/>
      <c r="P25" s="2884">
        <f>M25</f>
        <v>2.8E-3</v>
      </c>
      <c r="Q25" s="2882"/>
      <c r="R25" s="2885"/>
      <c r="S25" s="2886">
        <f>ROUND(SUMPRODUCT(PRODUCT(1+L26:L40)),4)</f>
        <v>1.0476000000000001</v>
      </c>
      <c r="T25" s="2886">
        <f t="shared" ref="T25:U25" si="34">ROUND(SUMPRODUCT(PRODUCT(1+M26:M40)),4)</f>
        <v>1.0346</v>
      </c>
      <c r="U25" s="2886">
        <f t="shared" si="34"/>
        <v>1.0831999999999999</v>
      </c>
      <c r="V25" s="2886"/>
      <c r="W25" s="2885">
        <f>T25</f>
        <v>1.0346</v>
      </c>
      <c r="X25" s="2882"/>
      <c r="Y25" s="2887"/>
      <c r="Z25" s="2888">
        <f t="shared" ref="Z25:AB25" si="35">ROUND(AVERAGEIF(Z26:Z40,"&lt;&gt;0"),4)</f>
        <v>4.3E-3</v>
      </c>
      <c r="AA25" s="2889">
        <f t="shared" si="35"/>
        <v>3.5999999999999999E-3</v>
      </c>
      <c r="AB25" s="2887">
        <f t="shared" si="35"/>
        <v>8.8999999999999999E-3</v>
      </c>
      <c r="AC25" s="2890"/>
      <c r="AD25" s="2887">
        <f>AA25</f>
        <v>3.5999999999999999E-3</v>
      </c>
    </row>
    <row r="26" spans="1:30" s="2005" customFormat="1" ht="12.75">
      <c r="B26" s="2021"/>
      <c r="J26" s="2891"/>
      <c r="K26" s="2892"/>
      <c r="L26" s="2893"/>
      <c r="M26" s="2893"/>
      <c r="N26" s="2893"/>
      <c r="O26" s="2893"/>
      <c r="P26" s="2893"/>
      <c r="Q26" s="2891"/>
      <c r="R26" s="2023"/>
      <c r="S26" s="2894"/>
      <c r="T26" s="2895"/>
      <c r="U26" s="2023"/>
      <c r="V26" s="2896"/>
      <c r="W26" s="2023"/>
      <c r="X26" s="2891"/>
      <c r="Y26" s="2024"/>
      <c r="Z26" s="2897"/>
      <c r="AA26" s="2898"/>
      <c r="AB26" s="2024"/>
      <c r="AC26" s="2899"/>
      <c r="AD26" s="2024"/>
    </row>
    <row r="27" spans="1:30" s="2041" customFormat="1" ht="12.75">
      <c r="A27" s="2036" t="s">
        <v>3372</v>
      </c>
      <c r="B27" s="2027">
        <v>2024</v>
      </c>
      <c r="C27" s="2038">
        <v>2</v>
      </c>
      <c r="D27" s="2003"/>
      <c r="E27" s="2003">
        <v>0</v>
      </c>
      <c r="F27" s="2003">
        <v>0</v>
      </c>
      <c r="G27" s="2003">
        <v>0</v>
      </c>
      <c r="H27" s="2003"/>
      <c r="I27" s="2004">
        <f t="shared" ref="I27:I40" si="36">F27</f>
        <v>0</v>
      </c>
      <c r="J27" s="2901"/>
      <c r="K27" s="2039"/>
      <c r="L27" s="2024">
        <f t="shared" ref="L27:N40" si="37">E27/100</f>
        <v>0</v>
      </c>
      <c r="M27" s="2024">
        <f t="shared" si="37"/>
        <v>0</v>
      </c>
      <c r="N27" s="2024">
        <f t="shared" si="37"/>
        <v>0</v>
      </c>
      <c r="O27" s="2024"/>
      <c r="P27" s="2024">
        <f>M27</f>
        <v>0</v>
      </c>
      <c r="Q27" s="2901"/>
      <c r="R27" s="2023"/>
      <c r="S27" s="2023">
        <f>ROUND(IF(项目基本情况!$B$8="出让",SUMPRODUCT(PRODUCT(1+L27:L$40)),SUMPRODUCT(PRODUCT(1+L27:L$39))),4)</f>
        <v>1.0439000000000001</v>
      </c>
      <c r="T27" s="2023">
        <f>ROUND(IF(项目基本情况!$B$8="出让",SUMPRODUCT(PRODUCT(1+M27:M$40)),SUMPRODUCT(PRODUCT(1+M27:M$39))),4)</f>
        <v>1.0297000000000001</v>
      </c>
      <c r="U27" s="2023">
        <f>ROUND(IF(项目基本情况!$B$8="出让",SUMPRODUCT(PRODUCT(1+N27:N$40)),SUMPRODUCT(PRODUCT(1+N27:N$39))),4)</f>
        <v>1.0727</v>
      </c>
      <c r="V27" s="2023"/>
      <c r="W27" s="2023">
        <f>T27</f>
        <v>1.0297000000000001</v>
      </c>
      <c r="X27" s="2901"/>
      <c r="Y27" s="2024"/>
      <c r="Z27" s="2897">
        <f>IF(E27=0,0,ROUND(AVERAGE(E27:E40)/100,4))</f>
        <v>0</v>
      </c>
      <c r="AA27" s="2897">
        <f>IF(F27=0,0,ROUND(AVERAGE(F27:F40)/100,4))</f>
        <v>0</v>
      </c>
      <c r="AB27" s="2897">
        <f>IF(G27=0,0,ROUND(AVERAGE(G27:G40)/100,4))</f>
        <v>0</v>
      </c>
      <c r="AC27" s="2899"/>
      <c r="AD27" s="2024">
        <f>IF(I27=0,0,ROUND(AVERAGE(I27:I40)/100,4))</f>
        <v>0</v>
      </c>
    </row>
    <row r="28" spans="1:30" s="2041" customFormat="1" ht="12.75">
      <c r="A28" s="2036" t="s">
        <v>3373</v>
      </c>
      <c r="B28" s="2027">
        <v>2024</v>
      </c>
      <c r="C28" s="2038">
        <v>1</v>
      </c>
      <c r="D28" s="2003"/>
      <c r="E28" s="2003">
        <v>0</v>
      </c>
      <c r="F28" s="2003">
        <v>0</v>
      </c>
      <c r="G28" s="2003">
        <v>0</v>
      </c>
      <c r="H28" s="2003"/>
      <c r="I28" s="2004">
        <f t="shared" ref="I28:I29" si="38">F28</f>
        <v>0</v>
      </c>
      <c r="J28" s="2901"/>
      <c r="K28" s="2039"/>
      <c r="L28" s="2024">
        <f t="shared" ref="L28" si="39">E28/100</f>
        <v>0</v>
      </c>
      <c r="M28" s="2024">
        <f t="shared" ref="M28" si="40">F28/100</f>
        <v>0</v>
      </c>
      <c r="N28" s="2024">
        <f t="shared" ref="N28" si="41">G28/100</f>
        <v>0</v>
      </c>
      <c r="O28" s="2024"/>
      <c r="P28" s="2024">
        <f t="shared" ref="P28" si="42">M28</f>
        <v>0</v>
      </c>
      <c r="Q28" s="2901"/>
      <c r="R28" s="2023"/>
      <c r="S28" s="2023">
        <f>ROUND(IF(项目基本情况!$B$8="出让",SUMPRODUCT(PRODUCT(1+L28:L$40)),SUMPRODUCT(PRODUCT(1+L28:L$39))),4)</f>
        <v>1.0439000000000001</v>
      </c>
      <c r="T28" s="2023">
        <f>ROUND(IF(项目基本情况!$B$8="出让",SUMPRODUCT(PRODUCT(1+M28:M$40)),SUMPRODUCT(PRODUCT(1+M28:M$39))),4)</f>
        <v>1.0297000000000001</v>
      </c>
      <c r="U28" s="2023">
        <f>ROUND(IF(项目基本情况!$B$8="出让",SUMPRODUCT(PRODUCT(1+N28:N$40)),SUMPRODUCT(PRODUCT(1+N28:N$39))),4)</f>
        <v>1.0727</v>
      </c>
      <c r="V28" s="2023"/>
      <c r="W28" s="2023">
        <f t="shared" ref="W28" si="43">T28</f>
        <v>1.0297000000000001</v>
      </c>
      <c r="X28" s="2901"/>
      <c r="Y28" s="2024"/>
      <c r="Z28" s="2897"/>
      <c r="AA28" s="2898"/>
      <c r="AB28" s="2024"/>
      <c r="AC28" s="2899"/>
      <c r="AD28" s="2024"/>
    </row>
    <row r="29" spans="1:30" s="2911" customFormat="1" ht="12.75">
      <c r="A29" s="2902" t="s">
        <v>3376</v>
      </c>
      <c r="B29" s="2903">
        <v>2023</v>
      </c>
      <c r="C29" s="2904">
        <v>4</v>
      </c>
      <c r="D29" s="2905"/>
      <c r="E29" s="2905">
        <v>7.0000000000000007E-2</v>
      </c>
      <c r="F29" s="2905">
        <v>0.09</v>
      </c>
      <c r="G29" s="2905">
        <v>0.03</v>
      </c>
      <c r="H29" s="2906"/>
      <c r="I29" s="2907">
        <f t="shared" si="38"/>
        <v>0.09</v>
      </c>
      <c r="J29" s="2908"/>
      <c r="K29" s="2909"/>
      <c r="L29" s="2910">
        <f t="shared" si="37"/>
        <v>7.000000000000001E-4</v>
      </c>
      <c r="M29" s="2910">
        <f t="shared" si="37"/>
        <v>8.9999999999999998E-4</v>
      </c>
      <c r="N29" s="2910">
        <f t="shared" si="37"/>
        <v>2.9999999999999997E-4</v>
      </c>
      <c r="O29" s="2910"/>
      <c r="P29" s="2910">
        <f t="shared" ref="P29" si="44">M29</f>
        <v>8.9999999999999998E-4</v>
      </c>
      <c r="Q29" s="2908"/>
      <c r="R29" s="2908"/>
      <c r="S29" s="2908">
        <f>ROUND(IF(项目基本情况!$B$8="出让",SUMPRODUCT(PRODUCT(1+L29:L$40)),SUMPRODUCT(PRODUCT(1+L29:L$39))),4)</f>
        <v>1.0439000000000001</v>
      </c>
      <c r="T29" s="2908">
        <f>ROUND(IF(项目基本情况!$B$8="出让",SUMPRODUCT(PRODUCT(1+M29:M$40)),SUMPRODUCT(PRODUCT(1+M29:M$39))),4)</f>
        <v>1.0297000000000001</v>
      </c>
      <c r="U29" s="2908">
        <f>ROUND(IF(项目基本情况!$B$8="出让",SUMPRODUCT(PRODUCT(1+N29:N$40)),SUMPRODUCT(PRODUCT(1+N29:N$39))),4)</f>
        <v>1.0727</v>
      </c>
      <c r="V29" s="2908"/>
      <c r="W29" s="2908">
        <f t="shared" ref="W29" si="45">T29</f>
        <v>1.0297000000000001</v>
      </c>
      <c r="X29" s="2908"/>
      <c r="Y29" s="2910"/>
      <c r="Z29" s="2926"/>
      <c r="AA29" s="2927"/>
      <c r="AB29" s="2910"/>
      <c r="AC29" s="2928"/>
      <c r="AD29" s="2910"/>
    </row>
    <row r="30" spans="1:30" s="2041" customFormat="1" ht="12.75">
      <c r="A30" s="2900" t="s">
        <v>3375</v>
      </c>
      <c r="B30" s="2027">
        <v>2023</v>
      </c>
      <c r="C30" s="2038">
        <v>3</v>
      </c>
      <c r="D30" s="2003"/>
      <c r="E30" s="2003">
        <v>0.35</v>
      </c>
      <c r="F30" s="2003">
        <v>0.17</v>
      </c>
      <c r="G30" s="2003">
        <v>0.52</v>
      </c>
      <c r="H30" s="2912"/>
      <c r="I30" s="2004">
        <f t="shared" si="36"/>
        <v>0.17</v>
      </c>
      <c r="J30" s="2901"/>
      <c r="K30" s="2039"/>
      <c r="L30" s="2024">
        <f t="shared" ref="L30:L32" si="46">E30/100</f>
        <v>3.4999999999999996E-3</v>
      </c>
      <c r="M30" s="2024">
        <f t="shared" ref="M30:M32" si="47">F30/100</f>
        <v>1.7000000000000001E-3</v>
      </c>
      <c r="N30" s="2024">
        <f t="shared" ref="N30:N32" si="48">G30/100</f>
        <v>5.1999999999999998E-3</v>
      </c>
      <c r="O30" s="2024"/>
      <c r="P30" s="2024">
        <f t="shared" ref="P30:P32" si="49">M30</f>
        <v>1.7000000000000001E-3</v>
      </c>
      <c r="Q30" s="2901"/>
      <c r="R30" s="2023"/>
      <c r="S30" s="2023">
        <f>ROUND(IF(项目基本情况!$B$8="出让",SUMPRODUCT(PRODUCT(1+L30:L$40)),SUMPRODUCT(PRODUCT(1+L30:L$39))),4)</f>
        <v>1.0431999999999999</v>
      </c>
      <c r="T30" s="2023">
        <f>ROUND(IF(项目基本情况!$B$8="出让",SUMPRODUCT(PRODUCT(1+M30:M$40)),SUMPRODUCT(PRODUCT(1+M30:M$39))),4)</f>
        <v>1.0286999999999999</v>
      </c>
      <c r="U30" s="2023">
        <f>ROUND(IF(项目基本情况!$B$8="出让",SUMPRODUCT(PRODUCT(1+N30:N$40)),SUMPRODUCT(PRODUCT(1+N30:N$39))),4)</f>
        <v>1.0723</v>
      </c>
      <c r="V30" s="2023"/>
      <c r="W30" s="2023">
        <f t="shared" ref="W30:W32" si="50">T30</f>
        <v>1.0286999999999999</v>
      </c>
      <c r="X30" s="2901"/>
      <c r="Y30" s="2024"/>
      <c r="Z30" s="2897"/>
      <c r="AA30" s="2898"/>
      <c r="AB30" s="2024"/>
      <c r="AC30" s="2899"/>
      <c r="AD30" s="2024"/>
    </row>
    <row r="31" spans="1:30" s="2041" customFormat="1" ht="12.75">
      <c r="A31" s="2900" t="s">
        <v>3371</v>
      </c>
      <c r="B31" s="2027">
        <v>2023</v>
      </c>
      <c r="C31" s="2038">
        <v>2</v>
      </c>
      <c r="D31" s="2003"/>
      <c r="E31" s="2003">
        <v>0.5</v>
      </c>
      <c r="F31" s="2003">
        <v>0.45</v>
      </c>
      <c r="G31" s="2003">
        <v>0.89</v>
      </c>
      <c r="H31" s="2912"/>
      <c r="I31" s="2004">
        <f t="shared" si="36"/>
        <v>0.45</v>
      </c>
      <c r="J31" s="2901"/>
      <c r="K31" s="2039"/>
      <c r="L31" s="2024">
        <f t="shared" si="46"/>
        <v>5.0000000000000001E-3</v>
      </c>
      <c r="M31" s="2024">
        <f t="shared" si="47"/>
        <v>4.5000000000000005E-3</v>
      </c>
      <c r="N31" s="2024">
        <f t="shared" si="48"/>
        <v>8.8999999999999999E-3</v>
      </c>
      <c r="O31" s="2024"/>
      <c r="P31" s="2024">
        <f t="shared" si="49"/>
        <v>4.5000000000000005E-3</v>
      </c>
      <c r="Q31" s="2901"/>
      <c r="R31" s="2023"/>
      <c r="S31" s="2023">
        <f>ROUND(IF(项目基本情况!$B$8="出让",SUMPRODUCT(PRODUCT(1+L31:L$40)),SUMPRODUCT(PRODUCT(1+L31:L$39))),4)</f>
        <v>1.0396000000000001</v>
      </c>
      <c r="T31" s="2023">
        <f>ROUND(IF(项目基本情况!$B$8="出让",SUMPRODUCT(PRODUCT(1+M31:M$40)),SUMPRODUCT(PRODUCT(1+M31:M$39))),4)</f>
        <v>1.0269999999999999</v>
      </c>
      <c r="U31" s="2023">
        <f>ROUND(IF(项目基本情况!$B$8="出让",SUMPRODUCT(PRODUCT(1+N31:N$40)),SUMPRODUCT(PRODUCT(1+N31:N$39))),4)</f>
        <v>1.0668</v>
      </c>
      <c r="V31" s="2023"/>
      <c r="W31" s="2023">
        <f t="shared" si="50"/>
        <v>1.0269999999999999</v>
      </c>
      <c r="X31" s="2901"/>
      <c r="Y31" s="2024"/>
      <c r="Z31" s="2897"/>
      <c r="AA31" s="2898"/>
      <c r="AB31" s="2024"/>
      <c r="AC31" s="2899"/>
      <c r="AD31" s="2024"/>
    </row>
    <row r="32" spans="1:30" s="2041" customFormat="1" ht="12.75">
      <c r="A32" s="2900" t="s">
        <v>3367</v>
      </c>
      <c r="B32" s="2027">
        <v>2023</v>
      </c>
      <c r="C32" s="2038">
        <v>1</v>
      </c>
      <c r="D32" s="2003"/>
      <c r="E32" s="2003">
        <v>0.55000000000000004</v>
      </c>
      <c r="F32" s="2003">
        <v>0.59</v>
      </c>
      <c r="G32" s="2003">
        <v>0.64</v>
      </c>
      <c r="H32" s="2912"/>
      <c r="I32" s="2004">
        <f t="shared" si="36"/>
        <v>0.59</v>
      </c>
      <c r="J32" s="2901"/>
      <c r="K32" s="2039"/>
      <c r="L32" s="2024">
        <f t="shared" si="46"/>
        <v>5.5000000000000005E-3</v>
      </c>
      <c r="M32" s="2024">
        <f t="shared" si="47"/>
        <v>5.8999999999999999E-3</v>
      </c>
      <c r="N32" s="2024">
        <f t="shared" si="48"/>
        <v>6.4000000000000003E-3</v>
      </c>
      <c r="O32" s="2024"/>
      <c r="P32" s="2024">
        <f t="shared" si="49"/>
        <v>5.8999999999999999E-3</v>
      </c>
      <c r="Q32" s="2901"/>
      <c r="R32" s="2023"/>
      <c r="S32" s="2023">
        <f>ROUND(IF(项目基本情况!$B$8="出让",SUMPRODUCT(PRODUCT(1+L32:L$40)),SUMPRODUCT(PRODUCT(1+L32:L$39))),4)</f>
        <v>1.0344</v>
      </c>
      <c r="T32" s="2023">
        <f>ROUND(IF(项目基本情况!$B$8="出让",SUMPRODUCT(PRODUCT(1+M32:M$40)),SUMPRODUCT(PRODUCT(1+M32:M$39))),4)</f>
        <v>1.0224</v>
      </c>
      <c r="U32" s="2023">
        <f>ROUND(IF(项目基本情况!$B$8="出让",SUMPRODUCT(PRODUCT(1+N32:N$40)),SUMPRODUCT(PRODUCT(1+N32:N$39))),4)</f>
        <v>1.0573999999999999</v>
      </c>
      <c r="V32" s="2023"/>
      <c r="W32" s="2023">
        <f t="shared" si="50"/>
        <v>1.0224</v>
      </c>
      <c r="X32" s="2901"/>
      <c r="Y32" s="2024"/>
      <c r="Z32" s="2897"/>
      <c r="AA32" s="2898"/>
      <c r="AB32" s="2024"/>
      <c r="AC32" s="2899"/>
      <c r="AD32" s="2024"/>
    </row>
    <row r="33" spans="1:30" s="2041" customFormat="1" ht="12.75">
      <c r="A33" s="2900" t="s">
        <v>3366</v>
      </c>
      <c r="B33" s="2027">
        <v>2022</v>
      </c>
      <c r="C33" s="2038">
        <v>4</v>
      </c>
      <c r="D33" s="2003"/>
      <c r="E33" s="2003">
        <v>0.45</v>
      </c>
      <c r="F33" s="2003">
        <v>0.2</v>
      </c>
      <c r="G33" s="2003">
        <v>0.38</v>
      </c>
      <c r="H33" s="2912"/>
      <c r="I33" s="2004">
        <f t="shared" si="36"/>
        <v>0.2</v>
      </c>
      <c r="J33" s="2901"/>
      <c r="K33" s="2039"/>
      <c r="L33" s="2024">
        <f t="shared" si="37"/>
        <v>4.5000000000000005E-3</v>
      </c>
      <c r="M33" s="2024">
        <f t="shared" si="37"/>
        <v>2E-3</v>
      </c>
      <c r="N33" s="2024">
        <f t="shared" si="37"/>
        <v>3.8E-3</v>
      </c>
      <c r="O33" s="2024"/>
      <c r="P33" s="2024">
        <f t="shared" ref="P33:P40" si="51">M33</f>
        <v>2E-3</v>
      </c>
      <c r="Q33" s="2901"/>
      <c r="R33" s="2023"/>
      <c r="S33" s="2023">
        <f>ROUND(IF(项目基本情况!$B$8="出让",SUMPRODUCT(PRODUCT(1+L33:L$40)),SUMPRODUCT(PRODUCT(1+L33:L$39))),4)</f>
        <v>1.0286999999999999</v>
      </c>
      <c r="T33" s="2023">
        <f>ROUND(IF(项目基本情况!$B$8="出让",SUMPRODUCT(PRODUCT(1+M33:M$40)),SUMPRODUCT(PRODUCT(1+M33:M$39))),4)</f>
        <v>1.0164</v>
      </c>
      <c r="U33" s="2023">
        <f>ROUND(IF(项目基本情况!$B$8="出让",SUMPRODUCT(PRODUCT(1+N33:N$40)),SUMPRODUCT(PRODUCT(1+N33:N$39))),4)</f>
        <v>1.0506</v>
      </c>
      <c r="V33" s="2023"/>
      <c r="W33" s="2023">
        <f t="shared" ref="W33:W40" si="52">T33</f>
        <v>1.0164</v>
      </c>
      <c r="X33" s="2901"/>
      <c r="Y33" s="2024"/>
      <c r="Z33" s="2897">
        <f t="shared" ref="Z33:AD40" si="53">IF(E33=0,0,ROUND(AVERAGE(E33:E41)/100,4))</f>
        <v>4.0000000000000001E-3</v>
      </c>
      <c r="AA33" s="2898">
        <f t="shared" si="53"/>
        <v>2.5999999999999999E-3</v>
      </c>
      <c r="AB33" s="2024">
        <f t="shared" si="53"/>
        <v>7.4000000000000003E-3</v>
      </c>
      <c r="AC33" s="2899"/>
      <c r="AD33" s="2024">
        <f t="shared" si="53"/>
        <v>2.5999999999999999E-3</v>
      </c>
    </row>
    <row r="34" spans="1:30" s="2041" customFormat="1" ht="12.75">
      <c r="A34" s="2900" t="s">
        <v>3363</v>
      </c>
      <c r="B34" s="2027">
        <v>2022</v>
      </c>
      <c r="C34" s="2038">
        <v>3</v>
      </c>
      <c r="D34" s="2003"/>
      <c r="E34" s="2003">
        <v>0.3</v>
      </c>
      <c r="F34" s="2003">
        <v>0.28999999999999998</v>
      </c>
      <c r="G34" s="2003">
        <v>0.83</v>
      </c>
      <c r="H34" s="2912"/>
      <c r="I34" s="2004">
        <f t="shared" si="36"/>
        <v>0.28999999999999998</v>
      </c>
      <c r="J34" s="2901"/>
      <c r="K34" s="2039"/>
      <c r="L34" s="2024">
        <f t="shared" si="37"/>
        <v>3.0000000000000001E-3</v>
      </c>
      <c r="M34" s="2024">
        <f t="shared" si="37"/>
        <v>2.8999999999999998E-3</v>
      </c>
      <c r="N34" s="2024">
        <f t="shared" si="37"/>
        <v>8.3000000000000001E-3</v>
      </c>
      <c r="O34" s="2024"/>
      <c r="P34" s="2024">
        <f t="shared" si="51"/>
        <v>2.8999999999999998E-3</v>
      </c>
      <c r="Q34" s="2901"/>
      <c r="R34" s="2023"/>
      <c r="S34" s="2023">
        <f>ROUND(IF(项目基本情况!$B$8="出让",SUMPRODUCT(PRODUCT(1+L34:L$40)),SUMPRODUCT(PRODUCT(1+L34:L$39))),4)</f>
        <v>1.0241</v>
      </c>
      <c r="T34" s="2023">
        <f>ROUND(IF(项目基本情况!$B$8="出让",SUMPRODUCT(PRODUCT(1+M34:M$40)),SUMPRODUCT(PRODUCT(1+M34:M$39))),4)</f>
        <v>1.0144</v>
      </c>
      <c r="U34" s="2023">
        <f>ROUND(IF(项目基本情况!$B$8="出让",SUMPRODUCT(PRODUCT(1+N34:N$40)),SUMPRODUCT(PRODUCT(1+N34:N$39))),4)</f>
        <v>1.0467</v>
      </c>
      <c r="V34" s="2023"/>
      <c r="W34" s="2023">
        <f t="shared" si="52"/>
        <v>1.0144</v>
      </c>
      <c r="X34" s="2901"/>
      <c r="Y34" s="2024"/>
      <c r="Z34" s="2897">
        <f t="shared" si="53"/>
        <v>3.8999999999999998E-3</v>
      </c>
      <c r="AA34" s="2898">
        <f t="shared" si="53"/>
        <v>2.7000000000000001E-3</v>
      </c>
      <c r="AB34" s="2024">
        <f t="shared" si="53"/>
        <v>7.9000000000000008E-3</v>
      </c>
      <c r="AC34" s="2899"/>
      <c r="AD34" s="2024">
        <f t="shared" si="53"/>
        <v>2.7000000000000001E-3</v>
      </c>
    </row>
    <row r="35" spans="1:30" s="2041" customFormat="1" ht="12.75">
      <c r="A35" s="2900" t="s">
        <v>3353</v>
      </c>
      <c r="B35" s="2027">
        <v>2022</v>
      </c>
      <c r="C35" s="2038">
        <v>2</v>
      </c>
      <c r="D35" s="2003"/>
      <c r="E35" s="2003">
        <v>-0.11</v>
      </c>
      <c r="F35" s="2003">
        <v>-0.13</v>
      </c>
      <c r="G35" s="2003">
        <v>0.53</v>
      </c>
      <c r="H35" s="2912"/>
      <c r="I35" s="2004">
        <f t="shared" si="36"/>
        <v>-0.13</v>
      </c>
      <c r="J35" s="2901"/>
      <c r="K35" s="2039"/>
      <c r="L35" s="2024">
        <f t="shared" si="37"/>
        <v>-1.1000000000000001E-3</v>
      </c>
      <c r="M35" s="2024">
        <f t="shared" si="37"/>
        <v>-1.2999999999999999E-3</v>
      </c>
      <c r="N35" s="2024">
        <f t="shared" si="37"/>
        <v>5.3E-3</v>
      </c>
      <c r="O35" s="2024"/>
      <c r="P35" s="2024">
        <f t="shared" si="51"/>
        <v>-1.2999999999999999E-3</v>
      </c>
      <c r="Q35" s="2901"/>
      <c r="R35" s="2023"/>
      <c r="S35" s="2023">
        <f>ROUND(IF(项目基本情况!$B$8="出让",SUMPRODUCT(PRODUCT(1+L35:L$40)),SUMPRODUCT(PRODUCT(1+L35:L$39))),4)</f>
        <v>1.0210999999999999</v>
      </c>
      <c r="T35" s="2023">
        <f>ROUND(IF(项目基本情况!$B$8="出让",SUMPRODUCT(PRODUCT(1+M35:M$40)),SUMPRODUCT(PRODUCT(1+M35:M$39))),4)</f>
        <v>1.0114000000000001</v>
      </c>
      <c r="U35" s="2023">
        <f>ROUND(IF(项目基本情况!$B$8="出让",SUMPRODUCT(PRODUCT(1+N35:N$40)),SUMPRODUCT(PRODUCT(1+N35:N$39))),4)</f>
        <v>1.0381</v>
      </c>
      <c r="V35" s="2023"/>
      <c r="W35" s="2023">
        <f t="shared" si="52"/>
        <v>1.0114000000000001</v>
      </c>
      <c r="X35" s="2901"/>
      <c r="Y35" s="2024"/>
      <c r="Z35" s="2897">
        <f t="shared" si="53"/>
        <v>4.1000000000000003E-3</v>
      </c>
      <c r="AA35" s="2898">
        <f t="shared" si="53"/>
        <v>2.7000000000000001E-3</v>
      </c>
      <c r="AB35" s="2024">
        <f t="shared" si="53"/>
        <v>7.9000000000000008E-3</v>
      </c>
      <c r="AC35" s="2899"/>
      <c r="AD35" s="2024">
        <f t="shared" si="53"/>
        <v>2.7000000000000001E-3</v>
      </c>
    </row>
    <row r="36" spans="1:30" s="2041" customFormat="1" ht="12.75">
      <c r="A36" s="2900" t="s">
        <v>2833</v>
      </c>
      <c r="B36" s="2027">
        <v>2022</v>
      </c>
      <c r="C36" s="2038">
        <v>1</v>
      </c>
      <c r="D36" s="2003"/>
      <c r="E36" s="2003">
        <v>0.6</v>
      </c>
      <c r="F36" s="2003">
        <v>0.45</v>
      </c>
      <c r="G36" s="2003">
        <v>0.53</v>
      </c>
      <c r="H36" s="2912"/>
      <c r="I36" s="2004">
        <f t="shared" si="36"/>
        <v>0.45</v>
      </c>
      <c r="J36" s="2901"/>
      <c r="K36" s="2039"/>
      <c r="L36" s="2024">
        <f t="shared" si="37"/>
        <v>6.0000000000000001E-3</v>
      </c>
      <c r="M36" s="2024">
        <f t="shared" si="37"/>
        <v>4.5000000000000005E-3</v>
      </c>
      <c r="N36" s="2024">
        <f t="shared" si="37"/>
        <v>5.3E-3</v>
      </c>
      <c r="O36" s="2024"/>
      <c r="P36" s="2024">
        <f t="shared" si="51"/>
        <v>4.5000000000000005E-3</v>
      </c>
      <c r="Q36" s="2901"/>
      <c r="R36" s="2023"/>
      <c r="S36" s="2023">
        <f>ROUND(IF(项目基本情况!$B$8="出让",SUMPRODUCT(PRODUCT(1+L36:L$40)),SUMPRODUCT(PRODUCT(1+L36:L$39))),4)</f>
        <v>1.0222</v>
      </c>
      <c r="T36" s="2023">
        <f>ROUND(IF(项目基本情况!$B$8="出让",SUMPRODUCT(PRODUCT(1+M36:M$40)),SUMPRODUCT(PRODUCT(1+M36:M$39))),4)</f>
        <v>1.0127999999999999</v>
      </c>
      <c r="U36" s="2023">
        <f>ROUND(IF(项目基本情况!$B$8="出让",SUMPRODUCT(PRODUCT(1+N36:N$40)),SUMPRODUCT(PRODUCT(1+N36:N$39))),4)</f>
        <v>1.0326</v>
      </c>
      <c r="V36" s="2023"/>
      <c r="W36" s="2023">
        <f t="shared" si="52"/>
        <v>1.0127999999999999</v>
      </c>
      <c r="X36" s="2901"/>
      <c r="Y36" s="2024"/>
      <c r="Z36" s="2897">
        <f t="shared" si="53"/>
        <v>5.1000000000000004E-3</v>
      </c>
      <c r="AA36" s="2898">
        <f t="shared" si="53"/>
        <v>3.5000000000000001E-3</v>
      </c>
      <c r="AB36" s="2024">
        <f t="shared" si="53"/>
        <v>8.3999999999999995E-3</v>
      </c>
      <c r="AC36" s="2899"/>
      <c r="AD36" s="2024">
        <f t="shared" si="53"/>
        <v>3.5000000000000001E-3</v>
      </c>
    </row>
    <row r="37" spans="1:30" s="2041" customFormat="1" ht="12.75">
      <c r="A37" s="2900" t="s">
        <v>2834</v>
      </c>
      <c r="B37" s="2027">
        <v>2021</v>
      </c>
      <c r="C37" s="2038">
        <v>4</v>
      </c>
      <c r="D37" s="2003"/>
      <c r="E37" s="2003">
        <v>0.57999999999999996</v>
      </c>
      <c r="F37" s="2003">
        <v>0.08</v>
      </c>
      <c r="G37" s="2003">
        <v>0.68</v>
      </c>
      <c r="H37" s="2912"/>
      <c r="I37" s="2004">
        <f t="shared" si="36"/>
        <v>0.08</v>
      </c>
      <c r="J37" s="2901"/>
      <c r="K37" s="2039"/>
      <c r="L37" s="2024">
        <f t="shared" si="37"/>
        <v>5.7999999999999996E-3</v>
      </c>
      <c r="M37" s="2024">
        <f t="shared" si="37"/>
        <v>8.0000000000000004E-4</v>
      </c>
      <c r="N37" s="2024">
        <f t="shared" si="37"/>
        <v>6.8000000000000005E-3</v>
      </c>
      <c r="O37" s="2024"/>
      <c r="P37" s="2024">
        <f t="shared" si="51"/>
        <v>8.0000000000000004E-4</v>
      </c>
      <c r="Q37" s="2901"/>
      <c r="R37" s="2023"/>
      <c r="S37" s="2023">
        <f>ROUND(IF(项目基本情况!$B$8="出让",SUMPRODUCT(PRODUCT(1+L37:L$40)),SUMPRODUCT(PRODUCT(1+L37:L$39))),4)</f>
        <v>1.0161</v>
      </c>
      <c r="T37" s="2023">
        <f>ROUND(IF(项目基本情况!$B$8="出让",SUMPRODUCT(PRODUCT(1+M37:M$40)),SUMPRODUCT(PRODUCT(1+M37:M$39))),4)</f>
        <v>1.0082</v>
      </c>
      <c r="U37" s="2023">
        <f>ROUND(IF(项目基本情况!$B$8="出让",SUMPRODUCT(PRODUCT(1+N37:N$40)),SUMPRODUCT(PRODUCT(1+N37:N$39))),4)</f>
        <v>1.0270999999999999</v>
      </c>
      <c r="V37" s="2023"/>
      <c r="W37" s="2023">
        <f t="shared" si="52"/>
        <v>1.0082</v>
      </c>
      <c r="X37" s="2901"/>
      <c r="Y37" s="2024"/>
      <c r="Z37" s="2897">
        <f t="shared" si="53"/>
        <v>4.8999999999999998E-3</v>
      </c>
      <c r="AA37" s="2898">
        <f t="shared" si="53"/>
        <v>3.3E-3</v>
      </c>
      <c r="AB37" s="2024">
        <f t="shared" si="53"/>
        <v>9.1999999999999998E-3</v>
      </c>
      <c r="AC37" s="2899"/>
      <c r="AD37" s="2024">
        <f t="shared" si="53"/>
        <v>3.3E-3</v>
      </c>
    </row>
    <row r="38" spans="1:30" s="2041" customFormat="1" ht="12.75">
      <c r="A38" s="2900" t="s">
        <v>2835</v>
      </c>
      <c r="B38" s="2027">
        <v>2021</v>
      </c>
      <c r="C38" s="2038">
        <v>3</v>
      </c>
      <c r="D38" s="2003"/>
      <c r="E38" s="2003">
        <v>0.47</v>
      </c>
      <c r="F38" s="2003">
        <v>0.28000000000000003</v>
      </c>
      <c r="G38" s="2003">
        <v>0.91</v>
      </c>
      <c r="H38" s="2912"/>
      <c r="I38" s="2004">
        <f t="shared" si="36"/>
        <v>0.28000000000000003</v>
      </c>
      <c r="J38" s="2901"/>
      <c r="K38" s="2039"/>
      <c r="L38" s="2024">
        <f t="shared" si="37"/>
        <v>4.6999999999999993E-3</v>
      </c>
      <c r="M38" s="2024">
        <f t="shared" si="37"/>
        <v>2.8000000000000004E-3</v>
      </c>
      <c r="N38" s="2024">
        <f t="shared" si="37"/>
        <v>9.1000000000000004E-3</v>
      </c>
      <c r="O38" s="2024"/>
      <c r="P38" s="2024">
        <f t="shared" si="51"/>
        <v>2.8000000000000004E-3</v>
      </c>
      <c r="Q38" s="2901"/>
      <c r="R38" s="2023"/>
      <c r="S38" s="2023">
        <f>ROUND(IF(项目基本情况!$B$8="出让",SUMPRODUCT(PRODUCT(1+L38:L$40)),SUMPRODUCT(PRODUCT(1+L38:L$39))),4)</f>
        <v>1.0102</v>
      </c>
      <c r="T38" s="2023">
        <f>ROUND(IF(项目基本情况!$B$8="出让",SUMPRODUCT(PRODUCT(1+M38:M$40)),SUMPRODUCT(PRODUCT(1+M38:M$39))),4)</f>
        <v>1.0074000000000001</v>
      </c>
      <c r="U38" s="2023">
        <f>ROUND(IF(项目基本情况!$B$8="出让",SUMPRODUCT(PRODUCT(1+N38:N$40)),SUMPRODUCT(PRODUCT(1+N38:N$39))),4)</f>
        <v>1.0202</v>
      </c>
      <c r="V38" s="2023"/>
      <c r="W38" s="2023">
        <f t="shared" si="52"/>
        <v>1.0074000000000001</v>
      </c>
      <c r="X38" s="2901"/>
      <c r="Y38" s="2024"/>
      <c r="Z38" s="2897">
        <f t="shared" si="53"/>
        <v>4.5999999999999999E-3</v>
      </c>
      <c r="AA38" s="2898">
        <f t="shared" si="53"/>
        <v>4.1000000000000003E-3</v>
      </c>
      <c r="AB38" s="2024">
        <f t="shared" si="53"/>
        <v>0.01</v>
      </c>
      <c r="AC38" s="2899"/>
      <c r="AD38" s="2024">
        <f t="shared" si="53"/>
        <v>4.1000000000000003E-3</v>
      </c>
    </row>
    <row r="39" spans="1:30" s="2041" customFormat="1" ht="12.75">
      <c r="A39" s="2900" t="s">
        <v>2836</v>
      </c>
      <c r="B39" s="2027">
        <v>2021</v>
      </c>
      <c r="C39" s="2038">
        <v>2</v>
      </c>
      <c r="D39" s="2003"/>
      <c r="E39" s="2003">
        <v>0.55000000000000004</v>
      </c>
      <c r="F39" s="2003">
        <v>0.46</v>
      </c>
      <c r="G39" s="2003">
        <v>1.1000000000000001</v>
      </c>
      <c r="H39" s="2912"/>
      <c r="I39" s="2004">
        <f t="shared" si="36"/>
        <v>0.46</v>
      </c>
      <c r="J39" s="2901"/>
      <c r="K39" s="2039"/>
      <c r="L39" s="2024">
        <f t="shared" si="37"/>
        <v>5.5000000000000005E-3</v>
      </c>
      <c r="M39" s="2024">
        <f t="shared" si="37"/>
        <v>4.5999999999999999E-3</v>
      </c>
      <c r="N39" s="2024">
        <f t="shared" si="37"/>
        <v>1.1000000000000001E-2</v>
      </c>
      <c r="O39" s="2024"/>
      <c r="P39" s="2024">
        <f t="shared" si="51"/>
        <v>4.5999999999999999E-3</v>
      </c>
      <c r="Q39" s="2901"/>
      <c r="R39" s="2023"/>
      <c r="S39" s="2023">
        <f>ROUND(IF(项目基本情况!$B$8="出让",SUMPRODUCT(PRODUCT(1+L39:L$40)),SUMPRODUCT(PRODUCT(1+L39:L$39))),4)</f>
        <v>1.0055000000000001</v>
      </c>
      <c r="T39" s="2023">
        <f>ROUND(IF(项目基本情况!$B$8="出让",SUMPRODUCT(PRODUCT(1+M39:M$40)),SUMPRODUCT(PRODUCT(1+M39:M$39))),4)</f>
        <v>1.0045999999999999</v>
      </c>
      <c r="U39" s="2023">
        <f>ROUND(IF(项目基本情况!$B$8="出让",SUMPRODUCT(PRODUCT(1+N39:N$40)),SUMPRODUCT(PRODUCT(1+N39:N$39))),4)</f>
        <v>1.0109999999999999</v>
      </c>
      <c r="V39" s="2023"/>
      <c r="W39" s="2023">
        <f t="shared" si="52"/>
        <v>1.0045999999999999</v>
      </c>
      <c r="X39" s="2901"/>
      <c r="Y39" s="2024"/>
      <c r="Z39" s="2897">
        <f t="shared" si="53"/>
        <v>4.4999999999999997E-3</v>
      </c>
      <c r="AA39" s="2898">
        <f t="shared" si="53"/>
        <v>4.7000000000000002E-3</v>
      </c>
      <c r="AB39" s="2024">
        <f t="shared" si="53"/>
        <v>1.04E-2</v>
      </c>
      <c r="AC39" s="2899"/>
      <c r="AD39" s="2024">
        <f t="shared" si="53"/>
        <v>4.7000000000000002E-3</v>
      </c>
    </row>
    <row r="40" spans="1:30" s="2923" customFormat="1" thickBot="1">
      <c r="A40" s="2913" t="s">
        <v>2822</v>
      </c>
      <c r="B40" s="2914">
        <v>2021</v>
      </c>
      <c r="C40" s="2915">
        <v>1</v>
      </c>
      <c r="D40" s="2916"/>
      <c r="E40" s="2916">
        <v>0.35</v>
      </c>
      <c r="F40" s="2916">
        <v>0.48</v>
      </c>
      <c r="G40" s="2916">
        <v>0.98</v>
      </c>
      <c r="H40" s="2917"/>
      <c r="I40" s="2918">
        <f t="shared" si="36"/>
        <v>0.48</v>
      </c>
      <c r="J40" s="2919"/>
      <c r="K40" s="2920"/>
      <c r="L40" s="2921">
        <f t="shared" si="37"/>
        <v>3.4999999999999996E-3</v>
      </c>
      <c r="M40" s="2921">
        <f>F40/100</f>
        <v>4.7999999999999996E-3</v>
      </c>
      <c r="N40" s="2921">
        <f t="shared" si="37"/>
        <v>9.7999999999999997E-3</v>
      </c>
      <c r="O40" s="2921"/>
      <c r="P40" s="2921">
        <f t="shared" si="51"/>
        <v>4.7999999999999996E-3</v>
      </c>
      <c r="Q40" s="2919"/>
      <c r="R40" s="2922"/>
      <c r="S40" s="2922">
        <v>1</v>
      </c>
      <c r="T40" s="2922">
        <v>1</v>
      </c>
      <c r="U40" s="2922">
        <v>1</v>
      </c>
      <c r="V40" s="2922"/>
      <c r="W40" s="2922">
        <f t="shared" si="52"/>
        <v>1</v>
      </c>
      <c r="X40" s="2919"/>
      <c r="Y40" s="2921"/>
      <c r="Z40" s="2929">
        <f t="shared" si="53"/>
        <v>3.5000000000000001E-3</v>
      </c>
      <c r="AA40" s="2930">
        <f t="shared" si="53"/>
        <v>4.7999999999999996E-3</v>
      </c>
      <c r="AB40" s="2921">
        <f t="shared" si="53"/>
        <v>9.7999999999999997E-3</v>
      </c>
      <c r="AC40" s="2931"/>
      <c r="AD40" s="2921">
        <f t="shared" si="53"/>
        <v>4.7999999999999996E-3</v>
      </c>
    </row>
    <row r="41" spans="1:30" ht="14.25" thickTop="1"/>
    <row r="42" spans="1:30">
      <c r="A42" s="3138" t="s">
        <v>3365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608" t="s">
        <v>452</v>
      </c>
      <c r="C1" s="3608"/>
      <c r="D1" s="3608"/>
      <c r="E1" s="3608"/>
      <c r="F1" s="3608"/>
      <c r="G1" s="3604" t="s">
        <v>453</v>
      </c>
      <c r="H1" s="3604"/>
      <c r="I1" s="3604"/>
      <c r="J1" s="3604"/>
      <c r="K1" s="3604"/>
      <c r="L1" s="3604"/>
      <c r="N1" s="3604" t="s">
        <v>454</v>
      </c>
      <c r="O1" s="3604"/>
      <c r="P1" s="3604"/>
      <c r="Q1" s="3604"/>
      <c r="S1" s="3604" t="s">
        <v>455</v>
      </c>
      <c r="T1" s="3604"/>
      <c r="U1" s="3604"/>
      <c r="V1" s="3604"/>
      <c r="X1" s="3603" t="s">
        <v>456</v>
      </c>
      <c r="Y1" s="3604"/>
      <c r="Z1" s="3604"/>
      <c r="AA1" s="3604"/>
      <c r="AB1" s="3604"/>
      <c r="AD1" s="3603" t="s">
        <v>457</v>
      </c>
      <c r="AE1" s="3604"/>
      <c r="AF1" s="3604"/>
      <c r="AG1" s="3604"/>
      <c r="AH1" s="3604"/>
    </row>
    <row r="2" spans="1:34" s="2006" customFormat="1" ht="14.25" thickBot="1">
      <c r="B2" s="2007" t="s">
        <v>458</v>
      </c>
      <c r="C2" s="2007" t="s">
        <v>459</v>
      </c>
      <c r="D2" s="2008" t="s">
        <v>460</v>
      </c>
      <c r="E2" s="2008" t="s">
        <v>461</v>
      </c>
      <c r="F2" s="2007" t="s">
        <v>462</v>
      </c>
      <c r="G2" s="2009"/>
      <c r="I2" s="2007" t="s">
        <v>458</v>
      </c>
      <c r="J2" s="2008" t="s">
        <v>670</v>
      </c>
      <c r="K2" s="2008" t="s">
        <v>308</v>
      </c>
      <c r="L2" s="2007" t="s">
        <v>462</v>
      </c>
      <c r="N2" s="2007" t="s">
        <v>458</v>
      </c>
      <c r="O2" s="2008" t="s">
        <v>670</v>
      </c>
      <c r="P2" s="2008" t="s">
        <v>308</v>
      </c>
      <c r="Q2" s="2007" t="s">
        <v>462</v>
      </c>
      <c r="S2" s="2007" t="s">
        <v>458</v>
      </c>
      <c r="T2" s="2008" t="s">
        <v>670</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2108</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2109</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2124</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2122</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2121</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2120</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2118</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2117</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2119</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606">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2115</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606"/>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2114</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606"/>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2107</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613"/>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2105</v>
      </c>
      <c r="B25" s="2045">
        <v>439</v>
      </c>
      <c r="C25" s="2045">
        <v>327</v>
      </c>
      <c r="D25" s="2045">
        <f>C25</f>
        <v>327</v>
      </c>
      <c r="E25" s="2045">
        <v>627</v>
      </c>
      <c r="F25" s="2046">
        <v>283</v>
      </c>
      <c r="G25" s="3609">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2106</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606"/>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671</v>
      </c>
      <c r="B27" s="2037">
        <f t="shared" si="232"/>
        <v>419.31181600000002</v>
      </c>
      <c r="C27" s="2037">
        <f t="shared" si="233"/>
        <v>313.95436800000004</v>
      </c>
      <c r="D27" s="2037">
        <f t="shared" si="234"/>
        <v>313.95436800000004</v>
      </c>
      <c r="E27" s="2037">
        <f t="shared" si="235"/>
        <v>596.63028431999999</v>
      </c>
      <c r="F27" s="2037">
        <f t="shared" si="236"/>
        <v>274.74220703999998</v>
      </c>
      <c r="G27" s="3606"/>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613"/>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609">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606"/>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606"/>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607"/>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605">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606"/>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606"/>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607"/>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605">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606"/>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606"/>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607"/>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610">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611"/>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611"/>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612"/>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605">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606"/>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606"/>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607"/>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605">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606">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606">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607">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605">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606">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606">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607">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605">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606">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606">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607">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605">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606">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606">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607">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605">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606">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606">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607">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605">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606">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606">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607">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605">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606">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606">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607">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605">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606">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606">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607">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605">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606">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606">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607">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605">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606">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606">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607">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45291</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0">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1"/>
      <c r="B23" s="1199" t="s">
        <v>2307</v>
      </c>
      <c r="C23" s="1206">
        <v>43697</v>
      </c>
      <c r="D23" s="2569">
        <v>4.25</v>
      </c>
      <c r="E23" s="2569">
        <v>4.25</v>
      </c>
      <c r="F23" s="2569">
        <v>4.25</v>
      </c>
      <c r="G23" s="2569">
        <v>4.25</v>
      </c>
      <c r="H23" s="2569">
        <v>4.8499999999999996</v>
      </c>
      <c r="I23" s="2569"/>
      <c r="J23" s="2569"/>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2"/>
      <c r="C24" s="2573">
        <v>42301</v>
      </c>
      <c r="D24" s="2574">
        <v>4.3499999999999996</v>
      </c>
      <c r="E24" s="2574">
        <v>4.3499999999999996</v>
      </c>
      <c r="F24" s="2574">
        <v>4.75</v>
      </c>
      <c r="G24" s="2574">
        <v>4.75</v>
      </c>
      <c r="H24" s="2574">
        <v>4.9000000000000004</v>
      </c>
      <c r="I24" s="2574"/>
      <c r="J24" s="257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5"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L1" sqref="L1"/>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91" t="s">
        <v>943</v>
      </c>
      <c r="B1" s="3291"/>
      <c r="C1" s="3291"/>
      <c r="D1" s="3291"/>
    </row>
    <row r="2" spans="1:4" ht="18">
      <c r="A2" s="3292" t="s">
        <v>927</v>
      </c>
      <c r="B2" s="3292"/>
      <c r="C2" s="3292"/>
      <c r="D2" s="3292"/>
    </row>
    <row r="3" spans="1:4" ht="18.75">
      <c r="A3" s="1406" t="s">
        <v>928</v>
      </c>
      <c r="B3" s="1406" t="s">
        <v>929</v>
      </c>
      <c r="C3" s="1406" t="s">
        <v>930</v>
      </c>
      <c r="D3" s="1406" t="s">
        <v>931</v>
      </c>
    </row>
    <row r="4" spans="1:4" ht="56.25" customHeight="1">
      <c r="A4" s="1407">
        <f>项目基本情况!B4</f>
        <v>0</v>
      </c>
      <c r="B4" s="1408">
        <f>项目基本情况!C4</f>
        <v>0</v>
      </c>
      <c r="C4" s="1409"/>
      <c r="D4" s="1410" t="s">
        <v>932</v>
      </c>
    </row>
    <row r="5" spans="1:4" ht="56.25" customHeight="1">
      <c r="A5" s="1407">
        <f>项目基本情况!D4</f>
        <v>0</v>
      </c>
      <c r="B5" s="1408">
        <f>项目基本情况!E4</f>
        <v>0</v>
      </c>
      <c r="C5" s="1411"/>
      <c r="D5" s="1410" t="s">
        <v>932</v>
      </c>
    </row>
    <row r="6" spans="1:4" ht="18">
      <c r="A6" s="3292" t="s">
        <v>933</v>
      </c>
      <c r="B6" s="3292"/>
      <c r="C6" s="3292"/>
      <c r="D6" s="3292"/>
    </row>
    <row r="7" spans="1:4" ht="18.75">
      <c r="A7" s="1406" t="s">
        <v>928</v>
      </c>
      <c r="B7" s="1408" t="s">
        <v>934</v>
      </c>
      <c r="C7" s="1406" t="s">
        <v>930</v>
      </c>
      <c r="D7" s="1406" t="s">
        <v>931</v>
      </c>
    </row>
    <row r="8" spans="1:4" ht="56.25" customHeight="1">
      <c r="A8" s="1412" t="s">
        <v>390</v>
      </c>
      <c r="B8" s="1412" t="s">
        <v>0</v>
      </c>
      <c r="C8" s="1409"/>
      <c r="D8" s="1410" t="s">
        <v>932</v>
      </c>
    </row>
    <row r="10" spans="1:4" ht="18.75">
      <c r="A10" s="1413" t="s">
        <v>935</v>
      </c>
    </row>
    <row r="11" spans="1:4" ht="30" customHeight="1">
      <c r="A11" s="3293" t="s">
        <v>936</v>
      </c>
      <c r="B11" s="3285"/>
      <c r="C11" s="3285"/>
      <c r="D11" s="3285"/>
    </row>
    <row r="12" spans="1:4" ht="15.75">
      <c r="A12" s="3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0"/>
      <c r="C12" s="3290"/>
      <c r="D12" s="3290"/>
    </row>
    <row r="13" spans="1:4" ht="30" customHeight="1">
      <c r="A13" s="3285" t="str">
        <f>IF(项目基本情况!B8="抵押","3.抵押双方在办理抵押登记手续时，应使用本公司出具的正式《房地产评估报告》，特提醒报告使用者注意。","——")</f>
        <v>——</v>
      </c>
      <c r="B13" s="3290"/>
      <c r="C13" s="3290"/>
      <c r="D13" s="3290"/>
    </row>
    <row r="14" spans="1:4" ht="15.75" customHeight="1">
      <c r="A14" s="3285" t="str">
        <f>IF(项目基本情况!B8="抵押","4.本次评估估价师所知悉的法定优先受偿款情况说明如下：","——")</f>
        <v>——</v>
      </c>
      <c r="B14" s="3290"/>
      <c r="C14" s="3290"/>
      <c r="D14" s="3290"/>
    </row>
    <row r="15" spans="1:4" ht="42" customHeight="1">
      <c r="A15" s="3285" t="str">
        <f>IF(项目基本情况!B8="抵押","（1）"&amp;CONCATENATE(项目基本情况!L20,项目基本情况!L21,项目基本情况!L22),"——")</f>
        <v>——</v>
      </c>
      <c r="B15" s="3285"/>
      <c r="C15" s="3285"/>
      <c r="D15" s="3285"/>
    </row>
    <row r="16" spans="1:4" ht="30" customHeight="1">
      <c r="A16" s="3287" t="s">
        <v>937</v>
      </c>
      <c r="B16" s="3287"/>
      <c r="C16" s="3287"/>
      <c r="D16" s="3287"/>
    </row>
    <row r="17" spans="1:4" ht="144" customHeight="1">
      <c r="A17" s="3287" t="s">
        <v>938</v>
      </c>
      <c r="B17" s="3287"/>
      <c r="C17" s="3287"/>
      <c r="D17" s="3287"/>
    </row>
    <row r="18" spans="1:4" ht="15.75" customHeight="1">
      <c r="A18" s="3285" t="str">
        <f>IF(项目基本情况!B8="抵押",结果表!K120,"——")</f>
        <v>——</v>
      </c>
      <c r="B18" s="3285"/>
      <c r="C18" s="3285"/>
      <c r="D18" s="3285"/>
    </row>
    <row r="19" spans="1:4" ht="46.5" customHeight="1">
      <c r="A19" s="3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5"/>
      <c r="C19" s="3285"/>
      <c r="D19" s="3285"/>
    </row>
    <row r="20" spans="1:4" ht="57.75" customHeight="1">
      <c r="A20" s="3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5"/>
      <c r="C20" s="3285"/>
      <c r="D20" s="3285"/>
    </row>
    <row r="21" spans="1:4" ht="57.75" customHeight="1">
      <c r="A21" s="3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8"/>
      <c r="C21" s="3288"/>
      <c r="D21" s="3288"/>
    </row>
    <row r="22" spans="1:4" ht="18.75" customHeight="1">
      <c r="A22" s="3289" t="s">
        <v>939</v>
      </c>
      <c r="B22" s="3289"/>
      <c r="C22" s="3289"/>
      <c r="D22" s="3289"/>
    </row>
    <row r="23" spans="1:4">
      <c r="A23" s="1414"/>
      <c r="B23" s="459"/>
      <c r="C23" s="459"/>
      <c r="D23" s="459"/>
    </row>
    <row r="24" spans="1:4">
      <c r="A24" s="1414"/>
      <c r="B24" s="459"/>
      <c r="C24" s="459"/>
      <c r="D24" s="459"/>
    </row>
    <row r="25" spans="1:4" ht="18.75">
      <c r="A25" s="1415" t="s">
        <v>940</v>
      </c>
    </row>
    <row r="26" spans="1:4" ht="18">
      <c r="A26" s="1386"/>
    </row>
    <row r="27" spans="1:4" ht="18.75">
      <c r="A27" s="1386" t="s">
        <v>941</v>
      </c>
    </row>
    <row r="30" spans="1:4" ht="18.75">
      <c r="D30" s="1415" t="s">
        <v>942</v>
      </c>
    </row>
    <row r="31" spans="1:4" ht="13.5" customHeight="1">
      <c r="C31" s="3286">
        <v>42551</v>
      </c>
      <c r="D31" s="32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5"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Y36" sqref="Y36"/>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944</v>
      </c>
    </row>
    <row r="3" spans="1:7">
      <c r="A3" s="1419" t="s">
        <v>55</v>
      </c>
      <c r="B3" s="1404" t="s">
        <v>945</v>
      </c>
      <c r="G3" s="1420"/>
    </row>
    <row r="4" spans="1:7">
      <c r="G4" s="1420"/>
    </row>
    <row r="5" spans="1:7">
      <c r="A5" s="1422" t="s">
        <v>46</v>
      </c>
      <c r="B5" s="1404" t="s">
        <v>946</v>
      </c>
      <c r="G5" s="1420"/>
    </row>
    <row r="6" spans="1:7">
      <c r="G6" s="1420"/>
    </row>
    <row r="7" spans="1:7">
      <c r="A7" s="1423" t="s">
        <v>108</v>
      </c>
      <c r="B7" s="1404" t="s">
        <v>947</v>
      </c>
      <c r="G7" s="1420"/>
    </row>
    <row r="8" spans="1:7">
      <c r="G8" s="1420"/>
    </row>
    <row r="9" spans="1:7">
      <c r="A9" s="1424" t="s">
        <v>47</v>
      </c>
      <c r="B9" s="1404" t="s">
        <v>948</v>
      </c>
    </row>
    <row r="11" spans="1:7">
      <c r="A11" s="1425" t="s">
        <v>48</v>
      </c>
      <c r="B11" s="1426" t="s">
        <v>45</v>
      </c>
    </row>
    <row r="13" spans="1:7">
      <c r="A13" s="1427" t="s">
        <v>949</v>
      </c>
    </row>
    <row r="15" spans="1:7" ht="13.5">
      <c r="A15" s="3299" t="s">
        <v>950</v>
      </c>
      <c r="B15" s="3294" t="s">
        <v>109</v>
      </c>
      <c r="C15" s="3295"/>
    </row>
    <row r="16" spans="1:7" ht="13.5">
      <c r="A16" s="3300"/>
      <c r="B16" s="3294" t="s">
        <v>42</v>
      </c>
      <c r="C16" s="3295"/>
    </row>
    <row r="17" spans="1:3" ht="13.5">
      <c r="A17" s="3300"/>
      <c r="B17" s="3297" t="s">
        <v>951</v>
      </c>
      <c r="C17" s="1428" t="s">
        <v>950</v>
      </c>
    </row>
    <row r="18" spans="1:3" ht="13.5">
      <c r="A18" s="3300"/>
      <c r="B18" s="3297"/>
      <c r="C18" s="1428" t="s">
        <v>952</v>
      </c>
    </row>
    <row r="19" spans="1:3" ht="13.5">
      <c r="A19" s="3300"/>
      <c r="B19" s="3297"/>
      <c r="C19" s="1428" t="s">
        <v>953</v>
      </c>
    </row>
    <row r="20" spans="1:3" ht="13.5">
      <c r="A20" s="3301"/>
      <c r="B20" s="3296" t="s">
        <v>954</v>
      </c>
      <c r="C20" s="3295"/>
    </row>
    <row r="21" spans="1:3" ht="13.5">
      <c r="A21" s="1429" t="s">
        <v>955</v>
      </c>
      <c r="B21" s="1430"/>
      <c r="C21" s="1431"/>
    </row>
    <row r="22" spans="1:3" ht="13.5">
      <c r="A22" s="3298" t="s">
        <v>956</v>
      </c>
      <c r="B22" s="3296" t="s">
        <v>957</v>
      </c>
      <c r="C22" s="3295"/>
    </row>
    <row r="23" spans="1:3" ht="13.5">
      <c r="A23" s="3298"/>
      <c r="B23" s="3296" t="s">
        <v>958</v>
      </c>
      <c r="C23" s="3295"/>
    </row>
    <row r="24" spans="1:3" ht="13.5">
      <c r="A24" s="3298"/>
      <c r="B24" s="3296" t="s">
        <v>959</v>
      </c>
      <c r="C24" s="3295"/>
    </row>
    <row r="25" spans="1:3" ht="13.5">
      <c r="A25" s="3298"/>
      <c r="B25" s="3297" t="s">
        <v>960</v>
      </c>
      <c r="C25" s="1428" t="s">
        <v>961</v>
      </c>
    </row>
    <row r="26" spans="1:3" ht="13.5">
      <c r="A26" s="3298"/>
      <c r="B26" s="3297"/>
      <c r="C26" s="1428" t="s">
        <v>962</v>
      </c>
    </row>
    <row r="27" spans="1:3" ht="13.5">
      <c r="A27" s="3298"/>
      <c r="B27" s="3297"/>
      <c r="C27" s="1428" t="s">
        <v>963</v>
      </c>
    </row>
    <row r="28" spans="1:3" ht="13.5">
      <c r="A28" s="3298"/>
      <c r="B28" s="3297"/>
      <c r="C28" s="1428" t="s">
        <v>964</v>
      </c>
    </row>
    <row r="29" spans="1:3" ht="13.5">
      <c r="A29" s="3298"/>
      <c r="B29" s="3297"/>
      <c r="C29" s="1428" t="s">
        <v>965</v>
      </c>
    </row>
    <row r="30" spans="1:3" ht="13.5">
      <c r="A30" s="3298"/>
      <c r="B30" s="3297"/>
      <c r="C30" s="1428" t="s">
        <v>966</v>
      </c>
    </row>
    <row r="31" spans="1:3" ht="13.5">
      <c r="A31" s="3298"/>
      <c r="B31" s="3297"/>
      <c r="C31" s="1428" t="s">
        <v>967</v>
      </c>
    </row>
    <row r="32" spans="1:3" ht="13.5">
      <c r="A32" s="3298"/>
      <c r="B32" s="3297"/>
      <c r="C32" s="1428" t="s">
        <v>968</v>
      </c>
    </row>
    <row r="33" spans="1:3" ht="13.5">
      <c r="A33" s="3298"/>
      <c r="B33" s="3297"/>
      <c r="C33" s="1428" t="s">
        <v>969</v>
      </c>
    </row>
    <row r="34" spans="1:3">
      <c r="A34" s="1432" t="s">
        <v>49</v>
      </c>
    </row>
    <row r="37" spans="1:3">
      <c r="A37" s="1432" t="s">
        <v>970</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2133</v>
      </c>
      <c r="B2" s="2153">
        <f ca="1">TODAY()</f>
        <v>45383</v>
      </c>
      <c r="C2" s="2154" t="s">
        <v>2134</v>
      </c>
      <c r="D2" s="2154"/>
      <c r="E2" s="2154"/>
      <c r="F2" s="2150"/>
      <c r="G2" s="2150"/>
      <c r="H2" s="2150"/>
    </row>
    <row r="3" spans="1:8" ht="24" customHeight="1">
      <c r="A3" s="2155" t="s">
        <v>2135</v>
      </c>
      <c r="B3" s="1218" t="s">
        <v>2136</v>
      </c>
      <c r="C3" s="1218" t="s">
        <v>2137</v>
      </c>
      <c r="D3" s="2156" t="s">
        <v>2138</v>
      </c>
      <c r="E3" s="2157" t="s">
        <v>2139</v>
      </c>
      <c r="F3" s="1218" t="s">
        <v>2140</v>
      </c>
      <c r="G3" s="1218" t="s">
        <v>2137</v>
      </c>
      <c r="H3" s="2156" t="s">
        <v>2141</v>
      </c>
    </row>
    <row r="4" spans="1:8" ht="24" customHeight="1">
      <c r="A4" s="1218" t="s">
        <v>2142</v>
      </c>
      <c r="B4" s="1218">
        <f ca="1">IF(C4&lt;B2,"已过期",1119970066)</f>
        <v>1119970066</v>
      </c>
      <c r="C4" s="2158">
        <v>45937</v>
      </c>
      <c r="D4" s="2159" t="str">
        <f ca="1">A4&amp;"（注册号："&amp;B4&amp;"）"</f>
        <v>梁津（注册号：1119970066）</v>
      </c>
      <c r="E4" s="2160" t="s">
        <v>2142</v>
      </c>
      <c r="F4" s="1218">
        <f ca="1">IF(G4&lt;B2,"已过期",96010014)</f>
        <v>96010014</v>
      </c>
      <c r="G4" s="2161">
        <v>47118</v>
      </c>
      <c r="H4" s="2162" t="str">
        <f ca="1">E4&amp;"（注册号："&amp;F4&amp;"）"</f>
        <v>梁津（注册号：96010014）</v>
      </c>
    </row>
    <row r="5" spans="1:8" ht="24" customHeight="1">
      <c r="A5" s="1218" t="s">
        <v>2143</v>
      </c>
      <c r="B5" s="1218">
        <f ca="1">IF(C5&lt;B2,"已过期",1119970111)</f>
        <v>1119970111</v>
      </c>
      <c r="C5" s="2158">
        <v>45937</v>
      </c>
      <c r="D5" s="2159" t="str">
        <f t="shared" ref="D5:D15" ca="1" si="0">A5&amp;"（注册号："&amp;B5&amp;"）"</f>
        <v>叶凌（注册号：1119970111）</v>
      </c>
      <c r="E5" s="2160" t="s">
        <v>2143</v>
      </c>
      <c r="F5" s="1218">
        <f ca="1">IF(G5&lt;B2,"已过期",94010078)</f>
        <v>94010078</v>
      </c>
      <c r="G5" s="2161">
        <v>46387</v>
      </c>
      <c r="H5" s="2162" t="str">
        <f t="shared" ref="H5:H16" ca="1" si="1">E5&amp;"（注册号："&amp;F5&amp;"）"</f>
        <v>叶凌（注册号：94010078）</v>
      </c>
    </row>
    <row r="6" spans="1:8" ht="24" customHeight="1">
      <c r="A6" s="1218" t="s">
        <v>2144</v>
      </c>
      <c r="B6" s="1218">
        <f ca="1">IF(C6&lt;B2,"已过期",1120050019)</f>
        <v>1120050019</v>
      </c>
      <c r="C6" s="2158">
        <v>45410</v>
      </c>
      <c r="D6" s="2159" t="str">
        <f t="shared" ca="1" si="0"/>
        <v>王鹏（注册号：1120050019）</v>
      </c>
      <c r="E6" s="2160" t="s">
        <v>2144</v>
      </c>
      <c r="F6" s="1218">
        <f ca="1">IF(G6&lt;B2,"已过期",2002110030)</f>
        <v>2002110030</v>
      </c>
      <c r="G6" s="2161">
        <v>46387</v>
      </c>
      <c r="H6" s="2162" t="str">
        <f t="shared" ca="1" si="1"/>
        <v>王鹏（注册号：2002110030）</v>
      </c>
    </row>
    <row r="7" spans="1:8" ht="24" customHeight="1">
      <c r="A7" s="1218" t="s">
        <v>2145</v>
      </c>
      <c r="B7" s="1218">
        <f ca="1">IF(C7&lt;B2,"已过期",1120000080)</f>
        <v>1120000080</v>
      </c>
      <c r="C7" s="2158">
        <v>45937</v>
      </c>
      <c r="D7" s="2159" t="str">
        <f t="shared" ca="1" si="0"/>
        <v>欧红伟（注册号：1120000080）</v>
      </c>
      <c r="E7" s="2160" t="s">
        <v>2145</v>
      </c>
      <c r="F7" s="1218">
        <f ca="1">IF(G7&lt;B2,"已过期",2000110082)</f>
        <v>2000110082</v>
      </c>
      <c r="G7" s="2161">
        <v>46387</v>
      </c>
      <c r="H7" s="2162" t="str">
        <f t="shared" ca="1" si="1"/>
        <v>欧红伟（注册号：2000110082）</v>
      </c>
    </row>
    <row r="8" spans="1:8" ht="24" customHeight="1">
      <c r="A8" s="1218" t="s">
        <v>2146</v>
      </c>
      <c r="B8" s="1218">
        <f ca="1">IF(C8&lt;B2,"已过期",1419970001)</f>
        <v>1419970001</v>
      </c>
      <c r="C8" s="2158">
        <v>45937</v>
      </c>
      <c r="D8" s="2159" t="str">
        <f t="shared" ca="1" si="0"/>
        <v>吴薇（注册号：1419970001）</v>
      </c>
      <c r="E8" s="2160" t="s">
        <v>2146</v>
      </c>
      <c r="F8" s="1218">
        <f ca="1">IF(G8&lt;B2,"已过期",2002110125)</f>
        <v>2002110125</v>
      </c>
      <c r="G8" s="2161">
        <v>47118</v>
      </c>
      <c r="H8" s="2162" t="str">
        <f t="shared" ca="1" si="1"/>
        <v>吴薇（注册号：2002110125）</v>
      </c>
    </row>
    <row r="9" spans="1:8" ht="24" customHeight="1">
      <c r="A9" s="1218" t="s">
        <v>2147</v>
      </c>
      <c r="B9" s="1218">
        <f ca="1">IF(C9&lt;B2,"已过期",1120060040)</f>
        <v>1120060040</v>
      </c>
      <c r="C9" s="2163">
        <v>45592</v>
      </c>
      <c r="D9" s="2159" t="str">
        <f t="shared" ca="1" si="0"/>
        <v>陈颖（注册号：1120060040）</v>
      </c>
      <c r="E9" s="2160" t="s">
        <v>2147</v>
      </c>
      <c r="F9" s="1218">
        <f ca="1">IF(G9&lt;B2,"已过期",2004110096)</f>
        <v>2004110096</v>
      </c>
      <c r="G9" s="2161">
        <v>47118</v>
      </c>
      <c r="H9" s="2162" t="str">
        <f t="shared" ca="1" si="1"/>
        <v>陈颖（注册号：2004110096）</v>
      </c>
    </row>
    <row r="10" spans="1:8" ht="24" customHeight="1">
      <c r="A10" s="1218" t="s">
        <v>2148</v>
      </c>
      <c r="B10" s="1218">
        <f ca="1">IF(C10&lt;B2,"已过期",1120100036)</f>
        <v>1120100036</v>
      </c>
      <c r="C10" s="2163">
        <v>45752</v>
      </c>
      <c r="D10" s="2159" t="str">
        <f t="shared" ca="1" si="0"/>
        <v>崔锴（注册号：1120100036）</v>
      </c>
      <c r="E10" s="2160" t="s">
        <v>2148</v>
      </c>
      <c r="F10" s="1218">
        <f ca="1">IF(G10&lt;B2,"已过期",2010110070)</f>
        <v>2010110070</v>
      </c>
      <c r="G10" s="2161">
        <v>47907</v>
      </c>
      <c r="H10" s="2162" t="str">
        <f t="shared" ca="1" si="1"/>
        <v>崔锴（注册号：2010110070）</v>
      </c>
    </row>
    <row r="11" spans="1:8" ht="24" customHeight="1">
      <c r="A11" s="1218" t="s">
        <v>2149</v>
      </c>
      <c r="B11" s="1218">
        <f ca="1">IF(C11&lt;B2,"已过期",1120070131)</f>
        <v>1120070131</v>
      </c>
      <c r="C11" s="2158">
        <v>45937</v>
      </c>
      <c r="D11" s="2159" t="str">
        <f t="shared" ca="1" si="0"/>
        <v>郑燚（注册号：1120070131）</v>
      </c>
      <c r="E11" s="2160" t="s">
        <v>2149</v>
      </c>
      <c r="F11" s="1218">
        <f ca="1">IF(G11&lt;B2,"已过期",2014110011)</f>
        <v>2014110011</v>
      </c>
      <c r="G11" s="2161">
        <v>49302</v>
      </c>
      <c r="H11" s="2162" t="str">
        <f t="shared" ca="1" si="1"/>
        <v>郑燚（注册号：2014110011）</v>
      </c>
    </row>
    <row r="12" spans="1:8" ht="24" customHeight="1">
      <c r="A12" s="1218" t="s">
        <v>2150</v>
      </c>
      <c r="B12" s="1218">
        <f ca="1">IF(C12&lt;B2,"已过期",1120040230)</f>
        <v>1120040230</v>
      </c>
      <c r="C12" s="2163">
        <v>45937</v>
      </c>
      <c r="D12" s="2159" t="str">
        <f t="shared" ca="1" si="0"/>
        <v>苏海（注册号：1120040230）</v>
      </c>
      <c r="E12" s="2160" t="s">
        <v>2150</v>
      </c>
      <c r="F12" s="1218">
        <f ca="1">IF(G12&lt;B2,"已过期",98030020)</f>
        <v>98030020</v>
      </c>
      <c r="G12" s="2161">
        <v>47118</v>
      </c>
      <c r="H12" s="2162" t="str">
        <f t="shared" ca="1" si="1"/>
        <v>苏海（注册号：98030020）</v>
      </c>
    </row>
    <row r="13" spans="1:8" ht="24" customHeight="1">
      <c r="A13" s="1218" t="s">
        <v>2151</v>
      </c>
      <c r="B13" s="1218" t="str">
        <f ca="1">IF(C13&lt;B2,"已过期",1120020033)</f>
        <v>已过期</v>
      </c>
      <c r="C13" s="2158">
        <v>45375</v>
      </c>
      <c r="D13" s="2159" t="str">
        <f t="shared" ca="1" si="0"/>
        <v>刘敬东（注册号：已过期）</v>
      </c>
      <c r="E13" s="2160" t="s">
        <v>2151</v>
      </c>
      <c r="F13" s="1218">
        <f ca="1">IF(G13&lt;B2,"已过期",2000110137)</f>
        <v>2000110137</v>
      </c>
      <c r="G13" s="2161">
        <v>46387</v>
      </c>
      <c r="H13" s="2162" t="str">
        <f t="shared" ca="1" si="1"/>
        <v>刘敬东（注册号：2000110137）</v>
      </c>
    </row>
    <row r="14" spans="1:8" ht="24" customHeight="1">
      <c r="A14" s="1218" t="s">
        <v>2152</v>
      </c>
      <c r="B14" s="1218" t="str">
        <f ca="1">IF(C14&lt;B2,"已过期",1119980106)</f>
        <v>已过期</v>
      </c>
      <c r="C14" s="2163">
        <v>44969</v>
      </c>
      <c r="D14" s="2159" t="str">
        <f t="shared" ca="1" si="0"/>
        <v>刘俊财（注册号：已过期）</v>
      </c>
      <c r="E14" s="2160" t="s">
        <v>2152</v>
      </c>
      <c r="F14" s="1218">
        <f ca="1">IF(G14&lt;B2,"已过期",96010063)</f>
        <v>96010063</v>
      </c>
      <c r="G14" s="2161">
        <v>47483</v>
      </c>
      <c r="H14" s="2162" t="str">
        <f t="shared" ca="1" si="1"/>
        <v>刘俊财（注册号：96010063）</v>
      </c>
    </row>
    <row r="15" spans="1:8" ht="24" customHeight="1">
      <c r="A15" s="1218" t="s">
        <v>2435</v>
      </c>
      <c r="B15" s="1218">
        <v>1120210056</v>
      </c>
      <c r="C15" s="2163">
        <v>45410</v>
      </c>
      <c r="D15" s="2159" t="str">
        <f t="shared" si="0"/>
        <v>宁小鳗（注册号：1120210056）</v>
      </c>
      <c r="E15" s="2160" t="s">
        <v>2153</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302" t="s">
        <v>2154</v>
      </c>
      <c r="B17" s="3302"/>
      <c r="C17" s="3302"/>
      <c r="D17" s="3302"/>
      <c r="E17" s="3302"/>
      <c r="F17" s="3302"/>
      <c r="G17" s="3302"/>
      <c r="H17" s="3302"/>
    </row>
    <row r="18" spans="1:8" ht="24" customHeight="1">
      <c r="A18" s="3303" t="s">
        <v>2155</v>
      </c>
      <c r="B18" s="3303"/>
      <c r="C18" s="3303"/>
      <c r="D18" s="2156"/>
      <c r="E18" s="3304" t="s">
        <v>2156</v>
      </c>
      <c r="F18" s="3303"/>
      <c r="G18" s="3303"/>
    </row>
    <row r="19" spans="1:8" s="2166" customFormat="1" ht="24" customHeight="1">
      <c r="A19" s="2165" t="s">
        <v>2157</v>
      </c>
      <c r="B19" s="1218" t="s">
        <v>2158</v>
      </c>
      <c r="C19" s="1218" t="s">
        <v>2137</v>
      </c>
      <c r="D19" s="2156"/>
      <c r="E19" s="2160" t="s">
        <v>2157</v>
      </c>
      <c r="F19" s="1218" t="s">
        <v>2158</v>
      </c>
      <c r="G19" s="1218" t="s">
        <v>2137</v>
      </c>
    </row>
    <row r="20" spans="1:8" s="2166" customFormat="1" ht="24" customHeight="1">
      <c r="A20" s="2167" t="s">
        <v>2159</v>
      </c>
      <c r="B20" s="2167" t="s">
        <v>2160</v>
      </c>
      <c r="C20" s="2161">
        <v>45898</v>
      </c>
      <c r="D20" s="2168"/>
      <c r="E20" s="2169" t="s">
        <v>2161</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3"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统计</vt:lpstr>
      <vt:lpstr>PPT</vt:lpstr>
      <vt:lpstr>销售明细表-未售银煌A2南区</vt:lpstr>
      <vt:lpstr>A2地块一期全部房源清单</vt:lpstr>
      <vt:lpstr>数据-汇总表</vt:lpstr>
      <vt:lpstr>数据-取费表</vt:lpstr>
      <vt:lpstr>估价对象房地状况</vt:lpstr>
      <vt:lpstr>系统读取表</vt:lpstr>
      <vt:lpstr>结果表</vt:lpstr>
      <vt:lpstr>比较法-住宅</vt:lpstr>
      <vt:lpstr>成本法</vt:lpstr>
      <vt:lpstr>土地比较法-住宅、综合</vt:lpstr>
      <vt:lpstr>成本法 (元)</vt:lpstr>
      <vt:lpstr>假设开发法</vt:lpstr>
      <vt:lpstr>土地案例</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结果表-商业</vt:lpstr>
      <vt:lpstr>成本法-商业</vt:lpstr>
      <vt:lpstr>收益法-商业</vt:lpstr>
      <vt:lpstr>结果表-地下车库</vt:lpstr>
      <vt:lpstr>成本法-地下车库</vt:lpstr>
      <vt:lpstr>收益法-地下车库</vt:lpstr>
      <vt:lpstr>市调</vt:lpstr>
      <vt:lpstr>住宅</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租房</vt:lpstr>
      <vt:lpstr>商业</vt:lpstr>
      <vt:lpstr>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'结果表-商业'!Print_Area</vt:lpstr>
      <vt:lpstr>收益法!Print_Area</vt:lpstr>
      <vt:lpstr>'收益法 (元)'!Print_Area</vt:lpstr>
      <vt:lpstr>'收益法（汇总）'!Print_Area</vt:lpstr>
      <vt:lpstr>'收益法-地下车库'!Print_Area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A2地块一期全部房源清单!Print_Titles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2024-04-01T02:03:42Z</dcterms:modified>
</cp:coreProperties>
</file>