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地上研发" sheetId="79" r:id="rId23"/>
    <sheet name="收益法-地下研发" sheetId="78" r:id="rId24"/>
    <sheet name="收益法-地下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'收益法-地上研发'!$A$1:$AK$69</definedName>
    <definedName name="_xlnm.Print_Area" localSheetId="24">'收益法-地下车库'!$A$1:$AK$69</definedName>
    <definedName name="_xlnm.Print_Area" localSheetId="23">'收益法-地下研发'!$A$1:$AK$69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5" i="6" l="1"/>
  <c r="E35" i="6"/>
  <c r="M35" i="77"/>
  <c r="I35" i="77"/>
  <c r="M34" i="77"/>
  <c r="I34" i="77"/>
  <c r="C15" i="74" l="1"/>
  <c r="B15" i="74"/>
  <c r="AN31" i="3" l="1"/>
  <c r="AN14" i="3"/>
  <c r="AN15" i="3"/>
  <c r="AN16" i="3"/>
  <c r="AN17" i="3"/>
  <c r="AN18" i="3"/>
  <c r="AN19" i="3"/>
  <c r="AN20" i="3"/>
  <c r="AN21" i="3"/>
  <c r="AN22" i="3"/>
  <c r="AN23" i="3"/>
  <c r="AN24" i="3"/>
  <c r="AN25" i="3"/>
  <c r="AN26" i="3"/>
  <c r="AN27" i="3"/>
  <c r="AN28" i="3"/>
  <c r="AN29" i="3"/>
  <c r="AN30" i="3"/>
  <c r="AN13" i="3"/>
  <c r="G21" i="6" l="1"/>
  <c r="H53" i="77"/>
  <c r="F19" i="6"/>
  <c r="H52" i="77"/>
  <c r="AT18" i="3"/>
  <c r="AT19" i="3"/>
  <c r="AT20" i="3"/>
  <c r="AL14" i="3"/>
  <c r="AL15" i="3"/>
  <c r="AL16" i="3"/>
  <c r="AL17" i="3"/>
  <c r="AL18" i="3"/>
  <c r="AL19" i="3"/>
  <c r="AL20" i="3"/>
  <c r="AL21" i="3"/>
  <c r="AL22" i="3"/>
  <c r="AL23" i="3"/>
  <c r="AL24" i="3"/>
  <c r="AL25" i="3"/>
  <c r="AL26" i="3"/>
  <c r="AL27" i="3"/>
  <c r="AL28" i="3"/>
  <c r="AL29" i="3"/>
  <c r="AL30" i="3"/>
  <c r="AL31" i="3"/>
  <c r="AL13" i="3"/>
  <c r="M22"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31" i="3"/>
  <c r="I13" i="3"/>
  <c r="C14" i="3"/>
  <c r="C15" i="3"/>
  <c r="C16" i="3"/>
  <c r="C17" i="3"/>
  <c r="C18" i="3"/>
  <c r="C19" i="3"/>
  <c r="C20" i="3"/>
  <c r="C21" i="3"/>
  <c r="C22" i="3"/>
  <c r="C23" i="3"/>
  <c r="C24" i="3"/>
  <c r="C25" i="3"/>
  <c r="C26" i="3"/>
  <c r="C27" i="3"/>
  <c r="C28" i="3"/>
  <c r="C29" i="3"/>
  <c r="C30" i="3"/>
  <c r="C31" i="3"/>
  <c r="C13" i="3"/>
  <c r="M6" i="77"/>
  <c r="M7" i="77"/>
  <c r="M5" i="77"/>
  <c r="I7" i="77"/>
  <c r="I6" i="77"/>
  <c r="I5" i="77"/>
  <c r="G31" i="77"/>
  <c r="K31" i="77"/>
  <c r="F31" i="77" s="1"/>
  <c r="G32" i="77"/>
  <c r="F32" i="77" s="1"/>
  <c r="K32" i="77"/>
  <c r="G33" i="77"/>
  <c r="K33" i="77"/>
  <c r="F33" i="77" s="1"/>
  <c r="G34" i="77"/>
  <c r="K34" i="77"/>
  <c r="G35" i="77"/>
  <c r="K35" i="77"/>
  <c r="G36" i="77"/>
  <c r="F36" i="77" s="1"/>
  <c r="K36" i="77"/>
  <c r="G37" i="77"/>
  <c r="K37" i="77"/>
  <c r="F37" i="77" s="1"/>
  <c r="G38" i="77"/>
  <c r="F38" i="77" s="1"/>
  <c r="L38" i="77"/>
  <c r="K38" i="77" s="1"/>
  <c r="G39" i="77"/>
  <c r="F39" i="77" s="1"/>
  <c r="K39" i="77"/>
  <c r="G40" i="77"/>
  <c r="K40" i="77"/>
  <c r="F40" i="77" s="1"/>
  <c r="G41" i="77"/>
  <c r="F41" i="77" s="1"/>
  <c r="K41" i="77"/>
  <c r="G42" i="77"/>
  <c r="K42" i="77"/>
  <c r="F42" i="77" s="1"/>
  <c r="G43" i="77"/>
  <c r="F43" i="77" s="1"/>
  <c r="K43" i="77"/>
  <c r="G44" i="77"/>
  <c r="K44" i="77"/>
  <c r="F44" i="77" s="1"/>
  <c r="G45" i="77"/>
  <c r="F45" i="77" s="1"/>
  <c r="K45" i="77"/>
  <c r="G46" i="77"/>
  <c r="K46" i="77"/>
  <c r="F46" i="77" s="1"/>
  <c r="G47" i="77"/>
  <c r="F47" i="77" s="1"/>
  <c r="K47" i="77"/>
  <c r="G48" i="77"/>
  <c r="K48" i="77"/>
  <c r="F48" i="77" s="1"/>
  <c r="G49" i="77"/>
  <c r="F49" i="77" s="1"/>
  <c r="K49" i="77"/>
  <c r="F35" i="77" l="1"/>
  <c r="F34" i="77"/>
  <c r="U7" i="1"/>
  <c r="P74" i="79" l="1"/>
  <c r="Q72" i="79"/>
  <c r="Q59" i="79"/>
  <c r="K59" i="79"/>
  <c r="P61" i="79" s="1"/>
  <c r="F59" i="79"/>
  <c r="Q58" i="79"/>
  <c r="Q51" i="79"/>
  <c r="J50" i="79"/>
  <c r="J51" i="79" s="1"/>
  <c r="M47" i="79"/>
  <c r="D46" i="79"/>
  <c r="F33" i="79"/>
  <c r="F61" i="79" s="1"/>
  <c r="F31" i="79"/>
  <c r="F23" i="79"/>
  <c r="D24" i="79" s="1"/>
  <c r="F21" i="79"/>
  <c r="F20" i="79"/>
  <c r="M19" i="79"/>
  <c r="F18" i="79"/>
  <c r="M17" i="79"/>
  <c r="F17" i="79"/>
  <c r="F15" i="79"/>
  <c r="Q72" i="78"/>
  <c r="Q59" i="78"/>
  <c r="K59" i="78"/>
  <c r="P61" i="78" s="1"/>
  <c r="F59" i="78"/>
  <c r="Q58" i="78"/>
  <c r="Q51" i="78"/>
  <c r="J50" i="78"/>
  <c r="J51" i="78" s="1"/>
  <c r="M47" i="78"/>
  <c r="D46" i="78"/>
  <c r="F33" i="78"/>
  <c r="F61" i="78" s="1"/>
  <c r="F31" i="78"/>
  <c r="F23" i="78"/>
  <c r="D24" i="78" s="1"/>
  <c r="F21" i="78"/>
  <c r="F20" i="78"/>
  <c r="M19" i="78"/>
  <c r="F18" i="78"/>
  <c r="M17" i="78"/>
  <c r="F17" i="78"/>
  <c r="F15" i="78"/>
  <c r="I22" i="77"/>
  <c r="G22" i="77" s="1"/>
  <c r="I21" i="77"/>
  <c r="G21" i="77" s="1"/>
  <c r="I20" i="77"/>
  <c r="G20" i="77" s="1"/>
  <c r="I19" i="77"/>
  <c r="I18" i="77"/>
  <c r="K20" i="77"/>
  <c r="K21" i="77"/>
  <c r="K22" i="77"/>
  <c r="K23" i="77"/>
  <c r="G23" i="77"/>
  <c r="D22" i="78" l="1"/>
  <c r="D22" i="79"/>
  <c r="D23" i="78"/>
  <c r="D23" i="79"/>
  <c r="F23" i="77"/>
  <c r="F21" i="77"/>
  <c r="F20" i="77"/>
  <c r="F22" i="77"/>
  <c r="P74" i="78"/>
  <c r="G14" i="77"/>
  <c r="F14" i="77" s="1"/>
  <c r="G18" i="77"/>
  <c r="G19" i="77"/>
  <c r="K6" i="77"/>
  <c r="K7" i="77"/>
  <c r="K8" i="77"/>
  <c r="K9" i="77"/>
  <c r="K10" i="77"/>
  <c r="K11" i="77"/>
  <c r="I11" i="77" s="1"/>
  <c r="K12" i="77"/>
  <c r="I12" i="77" s="1"/>
  <c r="K13" i="77"/>
  <c r="I13" i="77" s="1"/>
  <c r="K14" i="77"/>
  <c r="K15" i="77"/>
  <c r="K16" i="77"/>
  <c r="K17" i="77"/>
  <c r="I17" i="77" s="1"/>
  <c r="K18" i="77"/>
  <c r="K19" i="77"/>
  <c r="K5" i="77"/>
  <c r="G6" i="77"/>
  <c r="F6" i="77" s="1"/>
  <c r="G10" i="77"/>
  <c r="F10" i="77" s="1"/>
  <c r="G5" i="77"/>
  <c r="F5" i="77" s="1"/>
  <c r="I9" i="77"/>
  <c r="I8" i="77"/>
  <c r="G8" i="77" l="1"/>
  <c r="F8" i="77" s="1"/>
  <c r="G13" i="77"/>
  <c r="G11" i="77"/>
  <c r="G12" i="77"/>
  <c r="G17" i="77"/>
  <c r="I15" i="77"/>
  <c r="F19" i="77"/>
  <c r="G9" i="77"/>
  <c r="F9" i="77" s="1"/>
  <c r="G7" i="77"/>
  <c r="F7" i="77" s="1"/>
  <c r="I16" i="77"/>
  <c r="F18" i="77"/>
  <c r="F17" i="77"/>
  <c r="F12" i="77"/>
  <c r="F13" i="77"/>
  <c r="F11" i="77"/>
  <c r="G15" i="77" l="1"/>
  <c r="F15" i="77" s="1"/>
  <c r="G16" i="77"/>
  <c r="F16" i="77" s="1"/>
  <c r="C11" i="4" l="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A19" i="62"/>
  <c r="A12" i="62"/>
  <c r="A120" i="9"/>
  <c r="H2" i="52"/>
  <c r="A1" i="52"/>
  <c r="A3" i="53"/>
  <c r="Q10" i="71"/>
  <c r="P10" i="71"/>
  <c r="O10" i="71"/>
  <c r="N10"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59" i="72"/>
  <c r="B58"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D66" i="43" s="1"/>
  <c r="J66" i="43"/>
  <c r="M65" i="43"/>
  <c r="N65" i="43"/>
  <c r="K65" i="43"/>
  <c r="J65" i="43"/>
  <c r="M64" i="43"/>
  <c r="N64" i="43"/>
  <c r="K64" i="43"/>
  <c r="D64" i="43" s="1"/>
  <c r="J64" i="43"/>
  <c r="M63" i="43"/>
  <c r="D63" i="43" s="1"/>
  <c r="N63" i="43"/>
  <c r="K63" i="43"/>
  <c r="J63" i="43"/>
  <c r="M62" i="43"/>
  <c r="N62" i="43"/>
  <c r="K62" i="43"/>
  <c r="D62" i="43" s="1"/>
  <c r="J62" i="43"/>
  <c r="M61" i="43"/>
  <c r="N61" i="43"/>
  <c r="K61" i="43"/>
  <c r="J61" i="43"/>
  <c r="M60" i="43"/>
  <c r="D60" i="43" s="1"/>
  <c r="N60" i="43"/>
  <c r="K60" i="43"/>
  <c r="J60" i="43"/>
  <c r="M59" i="43"/>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9" i="43" s="1"/>
  <c r="H39" i="43"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Z549" i="3"/>
  <c r="AZ506" i="3"/>
  <c r="AZ496" i="3"/>
  <c r="G548" i="3"/>
  <c r="G538" i="3"/>
  <c r="G520" i="3"/>
  <c r="G502" i="3"/>
  <c r="BS5" i="3"/>
  <c r="BP5" i="3"/>
  <c r="AZ343" i="3"/>
  <c r="BK5" i="3"/>
  <c r="BI5" i="3"/>
  <c r="BG5" i="3"/>
  <c r="BE5" i="3"/>
  <c r="G17" i="3"/>
  <c r="BT5" i="3"/>
  <c r="AZ350" i="3"/>
  <c r="AZ352" i="3"/>
  <c r="AZ356" i="3"/>
  <c r="AZ360" i="3"/>
  <c r="AZ364" i="3"/>
  <c r="AZ368"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59" i="43" s="1"/>
  <c r="D120" i="9"/>
  <c r="C18" i="9"/>
  <c r="D18" i="9"/>
  <c r="F34" i="67"/>
  <c r="F62" i="67"/>
  <c r="M20" i="67"/>
  <c r="F34" i="15"/>
  <c r="F62" i="15" s="1"/>
  <c r="BA13" i="3"/>
  <c r="BL13" i="3"/>
  <c r="J56" i="9"/>
  <c r="J57" i="9"/>
  <c r="J59" i="9" s="1"/>
  <c r="J61" i="9" s="1"/>
  <c r="A24" i="51"/>
  <c r="B18" i="72"/>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s="1"/>
  <c r="E48" i="43"/>
  <c r="B46" i="43" s="1"/>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C6" i="43" s="1"/>
  <c r="N12" i="43"/>
  <c r="N5" i="43"/>
  <c r="M5" i="43"/>
  <c r="M12" i="43"/>
  <c r="M4" i="43"/>
  <c r="B19" i="53"/>
  <c r="B37" i="72"/>
  <c r="C7" i="39"/>
  <c r="C68" i="39"/>
  <c r="C70" i="39" s="1"/>
  <c r="C7" i="35"/>
  <c r="C7" i="33"/>
  <c r="C58" i="33" s="1"/>
  <c r="C7" i="21"/>
  <c r="C7" i="40"/>
  <c r="C63" i="40" s="1"/>
  <c r="D63" i="40" s="1"/>
  <c r="D65" i="40" s="1"/>
  <c r="M47" i="9"/>
  <c r="G19" i="43"/>
  <c r="M20" i="43" s="1"/>
  <c r="C19" i="43" s="1"/>
  <c r="C46" i="36"/>
  <c r="D46" i="36" s="1"/>
  <c r="E46" i="36" s="1"/>
  <c r="C59" i="34"/>
  <c r="D59" i="34" s="1"/>
  <c r="C52" i="37"/>
  <c r="D52" i="37" s="1"/>
  <c r="A4" i="51"/>
  <c r="B6" i="72" s="1"/>
  <c r="C48" i="35"/>
  <c r="D48" i="35" s="1"/>
  <c r="C58" i="21"/>
  <c r="D58" i="21" s="1"/>
  <c r="E58" i="21" s="1"/>
  <c r="F58" i="21" s="1"/>
  <c r="G58" i="21" s="1"/>
  <c r="H58" i="21" s="1"/>
  <c r="I58" i="21" s="1"/>
  <c r="J58" i="21" s="1"/>
  <c r="K58" i="21" s="1"/>
  <c r="L58" i="21" s="1"/>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D68" i="39"/>
  <c r="D70" i="39" s="1"/>
  <c r="T9" i="1"/>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G52" i="37"/>
  <c r="H52" i="37" s="1"/>
  <c r="I52" i="37" s="1"/>
  <c r="J52" i="37" s="1"/>
  <c r="K52" i="37" s="1"/>
  <c r="L52" i="37" s="1"/>
  <c r="M52" i="37" s="1"/>
  <c r="N52" i="37" s="1"/>
  <c r="O52" i="37" s="1"/>
  <c r="E59" i="34"/>
  <c r="F59" i="34" s="1"/>
  <c r="G59" i="34" s="1"/>
  <c r="H59" i="34" s="1"/>
  <c r="I59" i="34"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8" i="39"/>
  <c r="F68" i="39" s="1"/>
  <c r="G68" i="39" s="1"/>
  <c r="F1" i="67"/>
  <c r="Q52" i="67"/>
  <c r="AC11" i="37"/>
  <c r="W11" i="37"/>
  <c r="W11" i="34"/>
  <c r="AC11" i="34"/>
  <c r="C13" i="12"/>
  <c r="AG6" i="1"/>
  <c r="H112" i="9"/>
  <c r="D21" i="53" s="1"/>
  <c r="B39" i="72" s="1"/>
  <c r="H111" i="9"/>
  <c r="D126" i="9" s="1"/>
  <c r="I14" i="74" s="1"/>
  <c r="B8" i="74" s="1"/>
  <c r="D19" i="53"/>
  <c r="B38" i="72" s="1"/>
  <c r="D59" i="9"/>
  <c r="M55" i="9"/>
  <c r="D20" i="53"/>
  <c r="B40" i="72" s="1"/>
  <c r="AD3" i="71"/>
  <c r="P21" i="43"/>
  <c r="P22" i="43"/>
  <c r="P23" i="43"/>
  <c r="B71" i="39" s="1"/>
  <c r="P24" i="43"/>
  <c r="B66" i="40" s="1"/>
  <c r="P25" i="43"/>
  <c r="F31" i="67"/>
  <c r="E13" i="76"/>
  <c r="E2" i="68"/>
  <c r="B10" i="76"/>
  <c r="M28" i="67"/>
  <c r="D2" i="36"/>
  <c r="M9" i="15"/>
  <c r="F16" i="67"/>
  <c r="D2" i="21"/>
  <c r="D2" i="35"/>
  <c r="B8" i="76"/>
  <c r="M29" i="67"/>
  <c r="F37" i="15"/>
  <c r="L48" i="15"/>
  <c r="M23" i="15"/>
  <c r="F6" i="73"/>
  <c r="F37" i="67"/>
  <c r="F8" i="67"/>
  <c r="D7" i="73"/>
  <c r="F8" i="15"/>
  <c r="D4" i="73"/>
  <c r="AO9" i="1"/>
  <c r="F40" i="67"/>
  <c r="F41" i="67"/>
  <c r="E7" i="76"/>
  <c r="F16" i="15"/>
  <c r="E11" i="76"/>
  <c r="F26" i="15"/>
  <c r="L48" i="67"/>
  <c r="E2" i="69"/>
  <c r="M28" i="15"/>
  <c r="M22" i="67"/>
  <c r="E8" i="76"/>
  <c r="M9" i="67"/>
  <c r="D6" i="73"/>
  <c r="M8" i="15"/>
  <c r="AO12" i="1"/>
  <c r="D5" i="73"/>
  <c r="F36" i="67"/>
  <c r="D2" i="34"/>
  <c r="B12" i="76"/>
  <c r="F13" i="67"/>
  <c r="F9" i="67"/>
  <c r="L47" i="67"/>
  <c r="M26" i="67"/>
  <c r="F7" i="73"/>
  <c r="L47" i="15"/>
  <c r="D2" i="37"/>
  <c r="F42" i="67"/>
  <c r="F13" i="15"/>
  <c r="F36" i="15"/>
  <c r="M21" i="67"/>
  <c r="J15" i="67"/>
  <c r="F5" i="73"/>
  <c r="B13" i="76"/>
  <c r="AO11" i="1"/>
  <c r="M23" i="67"/>
  <c r="F7" i="67"/>
  <c r="M24" i="15"/>
  <c r="M8" i="67"/>
  <c r="F6" i="15"/>
  <c r="F38" i="15"/>
  <c r="M27" i="15"/>
  <c r="M22" i="15"/>
  <c r="F3" i="73"/>
  <c r="E10" i="76"/>
  <c r="E12" i="76"/>
  <c r="AO10" i="1"/>
  <c r="D2" i="33"/>
  <c r="M24" i="67"/>
  <c r="B11" i="76"/>
  <c r="F26" i="67"/>
  <c r="C76" i="15"/>
  <c r="M6" i="15"/>
  <c r="F20" i="31"/>
  <c r="M6" i="67"/>
  <c r="M27" i="67"/>
  <c r="F38" i="67"/>
  <c r="F9" i="15"/>
  <c r="F6" i="67"/>
  <c r="F43" i="67"/>
  <c r="D3" i="73"/>
  <c r="F4" i="73"/>
  <c r="B7" i="76"/>
  <c r="F40" i="15"/>
  <c r="J15" i="15"/>
  <c r="F42" i="15"/>
  <c r="F35" i="67"/>
  <c r="C76" i="67"/>
  <c r="E9" i="76"/>
  <c r="M26" i="15"/>
  <c r="AO13" i="1"/>
  <c r="B9" i="76"/>
  <c r="O10" i="1" l="1"/>
  <c r="P10" i="1" s="1"/>
  <c r="G20" i="6"/>
  <c r="D37" i="43" s="1"/>
  <c r="D1" i="43" s="1"/>
  <c r="B22" i="49"/>
  <c r="BL23" i="3"/>
  <c r="E63" i="40"/>
  <c r="C65" i="40"/>
  <c r="M20" i="15"/>
  <c r="F34" i="79"/>
  <c r="F62" i="79" s="1"/>
  <c r="M20" i="79"/>
  <c r="F34" i="78"/>
  <c r="F62" i="78" s="1"/>
  <c r="M20" i="78"/>
  <c r="F70" i="39"/>
  <c r="F53" i="9"/>
  <c r="F32" i="79"/>
  <c r="F60" i="79" s="1"/>
  <c r="F28" i="79"/>
  <c r="C28" i="79" s="1"/>
  <c r="F32" i="78"/>
  <c r="F60" i="78" s="1"/>
  <c r="F28" i="78"/>
  <c r="C28" i="78" s="1"/>
  <c r="M18" i="78"/>
  <c r="M18" i="79"/>
  <c r="G1" i="79"/>
  <c r="G1" i="78"/>
  <c r="H68" i="39"/>
  <c r="G70" i="39"/>
  <c r="D58" i="33"/>
  <c r="E58" i="33" s="1"/>
  <c r="F58" i="33" s="1"/>
  <c r="G58" i="33" s="1"/>
  <c r="H58" i="33" s="1"/>
  <c r="I58" i="33" s="1"/>
  <c r="J58" i="33" s="1"/>
  <c r="K58" i="33" s="1"/>
  <c r="L58" i="33" s="1"/>
  <c r="M58" i="33" s="1"/>
  <c r="N58" i="33" s="1"/>
  <c r="O58" i="33" s="1"/>
  <c r="J7" i="33"/>
  <c r="W7" i="33" s="1"/>
  <c r="E70" i="39"/>
  <c r="BL17" i="3"/>
  <c r="BL24" i="3"/>
  <c r="BL20" i="3"/>
  <c r="BL26" i="3"/>
  <c r="BL21" i="3"/>
  <c r="BL25" i="3"/>
  <c r="BA15" i="3"/>
  <c r="BA14" i="3"/>
  <c r="F30" i="6"/>
  <c r="G16" i="3"/>
  <c r="G13" i="3"/>
  <c r="AC5" i="3"/>
  <c r="BC5" i="3"/>
  <c r="E14" i="6" s="1"/>
  <c r="BA28" i="3"/>
  <c r="BN5" i="3"/>
  <c r="G29" i="6" s="1"/>
  <c r="E29" i="6" s="1"/>
  <c r="K15" i="1" s="1"/>
  <c r="BR5" i="3"/>
  <c r="G28" i="6" s="1"/>
  <c r="E28" i="6" s="1"/>
  <c r="K14" i="1" s="1"/>
  <c r="M14" i="1" s="1"/>
  <c r="O14" i="1" s="1"/>
  <c r="P14" i="1" s="1"/>
  <c r="E11" i="6"/>
  <c r="E61" i="39" s="1"/>
  <c r="AZ17" i="3"/>
  <c r="AZ16" i="3"/>
  <c r="E20" i="6"/>
  <c r="E10" i="6"/>
  <c r="G14" i="3"/>
  <c r="E21" i="6"/>
  <c r="E19" i="6"/>
  <c r="G22" i="3"/>
  <c r="BA22" i="3"/>
  <c r="P61" i="15"/>
  <c r="J53" i="15"/>
  <c r="E9" i="49"/>
  <c r="E59" i="43"/>
  <c r="B57" i="43" s="1"/>
  <c r="C24" i="43" s="1"/>
  <c r="N59" i="43"/>
  <c r="E11" i="43"/>
  <c r="E9" i="43"/>
  <c r="E10" i="43"/>
  <c r="E8" i="43"/>
  <c r="H62" i="43"/>
  <c r="H61" i="43"/>
  <c r="H60" i="43"/>
  <c r="H59" i="43"/>
  <c r="H67" i="43"/>
  <c r="H66" i="43"/>
  <c r="H65" i="43"/>
  <c r="H64" i="43"/>
  <c r="H63" i="43"/>
  <c r="C94" i="9"/>
  <c r="C92" i="9"/>
  <c r="F54" i="9"/>
  <c r="F28" i="15"/>
  <c r="C28" i="15" s="1"/>
  <c r="M18" i="67"/>
  <c r="D68" i="9"/>
  <c r="M18" i="15"/>
  <c r="F32" i="15"/>
  <c r="F60" i="15" s="1"/>
  <c r="F30" i="69"/>
  <c r="F32" i="67"/>
  <c r="F60" i="67" s="1"/>
  <c r="F31" i="12"/>
  <c r="F28" i="67"/>
  <c r="C28" i="67" s="1"/>
  <c r="F30" i="11"/>
  <c r="F30" i="68"/>
  <c r="D23" i="67"/>
  <c r="C36" i="69"/>
  <c r="G25" i="3"/>
  <c r="G26" i="3"/>
  <c r="G27" i="3"/>
  <c r="BL27" i="3"/>
  <c r="G28" i="3"/>
  <c r="BL28" i="3"/>
  <c r="G29" i="3"/>
  <c r="BL29" i="3"/>
  <c r="G30" i="3"/>
  <c r="G31" i="3"/>
  <c r="AZ14" i="3"/>
  <c r="BL22" i="3"/>
  <c r="G23" i="3"/>
  <c r="G24" i="3"/>
  <c r="BL15" i="3"/>
  <c r="AZ15" i="3" s="1"/>
  <c r="G18" i="3"/>
  <c r="G19" i="3"/>
  <c r="G20" i="3"/>
  <c r="G21" i="3"/>
  <c r="AZ27" i="3"/>
  <c r="L27" i="6"/>
  <c r="D9" i="69"/>
  <c r="C9" i="69" s="1"/>
  <c r="BA18" i="3"/>
  <c r="AZ18" i="3" s="1"/>
  <c r="BA20" i="3"/>
  <c r="AZ20" i="3" s="1"/>
  <c r="BA21" i="3"/>
  <c r="AZ21" i="3" s="1"/>
  <c r="BA23" i="3"/>
  <c r="AZ23" i="3" s="1"/>
  <c r="BA24" i="3"/>
  <c r="AZ24" i="3" s="1"/>
  <c r="BA25" i="3"/>
  <c r="AZ25" i="3" s="1"/>
  <c r="BA26" i="3"/>
  <c r="AZ26" i="3" s="1"/>
  <c r="BA30" i="3"/>
  <c r="AZ30" i="3" s="1"/>
  <c r="BA31" i="3"/>
  <c r="AZ31" i="3" s="1"/>
  <c r="BA19" i="3"/>
  <c r="AZ19" i="3" s="1"/>
  <c r="AZ29" i="3"/>
  <c r="AZ28" i="3"/>
  <c r="D9" i="68"/>
  <c r="C9" i="68" s="1"/>
  <c r="F27" i="6"/>
  <c r="F31" i="6" s="1"/>
  <c r="E56" i="39"/>
  <c r="E51" i="40"/>
  <c r="O11" i="1"/>
  <c r="P11" i="1" s="1"/>
  <c r="D19" i="12"/>
  <c r="C19" i="12" s="1"/>
  <c r="AZ13" i="3"/>
  <c r="O9" i="1"/>
  <c r="P9" i="1" s="1"/>
  <c r="O12" i="1"/>
  <c r="P12" i="1" s="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5" i="43"/>
  <c r="A19" i="51"/>
  <c r="B14" i="72" s="1"/>
  <c r="T35" i="4"/>
  <c r="A15" i="62"/>
  <c r="B61" i="72" s="1"/>
  <c r="F31" i="15"/>
  <c r="D12" i="52"/>
  <c r="D127" i="9"/>
  <c r="D13" i="52" s="1"/>
  <c r="AC7" i="33"/>
  <c r="V48" i="33" s="1"/>
  <c r="I48" i="33" s="1"/>
  <c r="M58" i="21"/>
  <c r="N58" i="21" s="1"/>
  <c r="O58" i="21" s="1"/>
  <c r="J7" i="21"/>
  <c r="H7" i="21"/>
  <c r="J59" i="34"/>
  <c r="K59" i="34" s="1"/>
  <c r="L59" i="34" s="1"/>
  <c r="M59" i="34" s="1"/>
  <c r="N59" i="34" s="1"/>
  <c r="O59" i="34" s="1"/>
  <c r="H7" i="34"/>
  <c r="F7" i="34"/>
  <c r="F7" i="37"/>
  <c r="H7" i="37"/>
  <c r="J7" i="37"/>
  <c r="F46" i="36"/>
  <c r="E48" i="35"/>
  <c r="E14" i="49"/>
  <c r="E15" i="49"/>
  <c r="E11" i="49"/>
  <c r="E13" i="49"/>
  <c r="B15" i="49"/>
  <c r="B16" i="49"/>
  <c r="E16" i="49"/>
  <c r="B14" i="49"/>
  <c r="B11" i="49"/>
  <c r="E4" i="4" s="1"/>
  <c r="B5" i="62" s="1"/>
  <c r="E22" i="49"/>
  <c r="E4" i="49"/>
  <c r="B6" i="49"/>
  <c r="E21" i="49"/>
  <c r="B9" i="49"/>
  <c r="B5" i="49"/>
  <c r="B7" i="49"/>
  <c r="B8" i="49"/>
  <c r="C4" i="4" s="1"/>
  <c r="B4" i="49"/>
  <c r="E5" i="49"/>
  <c r="E10" i="49"/>
  <c r="E8" i="49"/>
  <c r="B13" i="49"/>
  <c r="E6" i="49"/>
  <c r="E7" i="49"/>
  <c r="B10" i="49"/>
  <c r="F63" i="67"/>
  <c r="C62" i="67" s="1"/>
  <c r="C34" i="67"/>
  <c r="B20" i="31"/>
  <c r="F69" i="67"/>
  <c r="J20" i="67"/>
  <c r="F70" i="67"/>
  <c r="F64" i="67"/>
  <c r="F65" i="67"/>
  <c r="L56" i="15"/>
  <c r="J57" i="15"/>
  <c r="J55" i="15" s="1"/>
  <c r="J58" i="15" s="1"/>
  <c r="Q50" i="15" s="1"/>
  <c r="I54" i="15"/>
  <c r="Q71" i="15"/>
  <c r="F71" i="67"/>
  <c r="F50" i="67"/>
  <c r="M7" i="67"/>
  <c r="F66" i="15"/>
  <c r="F51" i="67"/>
  <c r="C6" i="67"/>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27" i="67"/>
  <c r="Q71" i="67"/>
  <c r="B12" i="70"/>
  <c r="B13" i="70"/>
  <c r="B9" i="70"/>
  <c r="E20" i="43"/>
  <c r="K1" i="73"/>
  <c r="F59" i="15"/>
  <c r="M17" i="15"/>
  <c r="M17" i="67"/>
  <c r="F59" i="67"/>
  <c r="M8" i="78"/>
  <c r="F26" i="79"/>
  <c r="F8" i="79"/>
  <c r="M9" i="78"/>
  <c r="F38" i="79"/>
  <c r="M26" i="79"/>
  <c r="M23" i="78"/>
  <c r="F8" i="78"/>
  <c r="L48" i="79"/>
  <c r="M27" i="78"/>
  <c r="F13" i="78"/>
  <c r="F37" i="79"/>
  <c r="C14" i="67"/>
  <c r="M6" i="78"/>
  <c r="F13" i="79"/>
  <c r="M26" i="78"/>
  <c r="M24" i="79"/>
  <c r="F6" i="78"/>
  <c r="M28" i="79"/>
  <c r="M24" i="78"/>
  <c r="M22" i="78"/>
  <c r="L48" i="78"/>
  <c r="F9" i="79"/>
  <c r="M6" i="79"/>
  <c r="F36" i="78"/>
  <c r="L47" i="79"/>
  <c r="M23" i="79"/>
  <c r="M9" i="79"/>
  <c r="F36" i="79"/>
  <c r="F16" i="78"/>
  <c r="J15" i="79"/>
  <c r="F40" i="78"/>
  <c r="F9" i="78"/>
  <c r="F6" i="79"/>
  <c r="F42" i="78"/>
  <c r="J15" i="78"/>
  <c r="M22" i="79"/>
  <c r="C17" i="67"/>
  <c r="F37" i="78"/>
  <c r="F42" i="79"/>
  <c r="C76" i="79"/>
  <c r="L47" i="78"/>
  <c r="M27" i="79"/>
  <c r="F16" i="79"/>
  <c r="M28" i="78"/>
  <c r="F40" i="79"/>
  <c r="G1" i="73"/>
  <c r="C76" i="78"/>
  <c r="F26" i="78"/>
  <c r="C16" i="67"/>
  <c r="M8" i="79"/>
  <c r="F38" i="78"/>
  <c r="G27" i="6" l="1"/>
  <c r="E12" i="6"/>
  <c r="E57" i="40" s="1"/>
  <c r="E15" i="6"/>
  <c r="H37" i="43"/>
  <c r="B73" i="72"/>
  <c r="F51" i="79"/>
  <c r="Q71" i="79"/>
  <c r="L58" i="79"/>
  <c r="N59" i="79"/>
  <c r="M59" i="79"/>
  <c r="L59" i="79" s="1"/>
  <c r="Q61" i="79" s="1"/>
  <c r="F64" i="79"/>
  <c r="J57" i="79"/>
  <c r="J55" i="79" s="1"/>
  <c r="J58" i="79" s="1"/>
  <c r="Q50" i="79" s="1"/>
  <c r="I54" i="79"/>
  <c r="J53" i="79"/>
  <c r="Q52" i="79" s="1"/>
  <c r="F65" i="79"/>
  <c r="C27" i="79"/>
  <c r="F68" i="79"/>
  <c r="F66" i="79"/>
  <c r="Q71" i="78"/>
  <c r="F51" i="78"/>
  <c r="L56" i="78"/>
  <c r="I54" i="78"/>
  <c r="J57" i="78"/>
  <c r="J55" i="78" s="1"/>
  <c r="J58" i="78" s="1"/>
  <c r="Q50" i="78" s="1"/>
  <c r="J53" i="78"/>
  <c r="Q52" i="78" s="1"/>
  <c r="F65" i="78"/>
  <c r="F64" i="78"/>
  <c r="L58" i="78"/>
  <c r="N59" i="78"/>
  <c r="M59" i="78"/>
  <c r="L59" i="78" s="1"/>
  <c r="Q74" i="78" s="1"/>
  <c r="F68" i="78"/>
  <c r="F66" i="78"/>
  <c r="C27" i="78"/>
  <c r="J7" i="34"/>
  <c r="F7" i="21"/>
  <c r="F63" i="40"/>
  <c r="E65" i="40"/>
  <c r="H7" i="33"/>
  <c r="F7" i="33"/>
  <c r="I68" i="39"/>
  <c r="H70" i="39"/>
  <c r="L56" i="79"/>
  <c r="AZ22" i="3"/>
  <c r="E56" i="40"/>
  <c r="E13" i="6"/>
  <c r="E64" i="39"/>
  <c r="E59" i="40"/>
  <c r="E30" i="6"/>
  <c r="BL5" i="3"/>
  <c r="G30" i="6"/>
  <c r="G31" i="6" s="1"/>
  <c r="K8" i="1"/>
  <c r="E7" i="12"/>
  <c r="K6" i="1"/>
  <c r="C7" i="12"/>
  <c r="D7" i="12"/>
  <c r="K7" i="1"/>
  <c r="Q52" i="15"/>
  <c r="F1" i="15"/>
  <c r="F11" i="79"/>
  <c r="M11" i="79"/>
  <c r="F11" i="78"/>
  <c r="M11" i="78"/>
  <c r="C30" i="11"/>
  <c r="C48" i="11"/>
  <c r="C48" i="69"/>
  <c r="C30" i="69"/>
  <c r="C48" i="68"/>
  <c r="C30" i="68"/>
  <c r="G5" i="3"/>
  <c r="B3" i="3" s="1"/>
  <c r="E328" i="3" s="1"/>
  <c r="BA5" i="3"/>
  <c r="E27" i="6" s="1"/>
  <c r="K20" i="6" s="1"/>
  <c r="AZ5" i="3"/>
  <c r="E58" i="40"/>
  <c r="E63" i="39"/>
  <c r="E16" i="6"/>
  <c r="E62" i="39"/>
  <c r="D22" i="43"/>
  <c r="F50" i="68"/>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62"/>
  <c r="W7" i="37"/>
  <c r="AC7" i="37"/>
  <c r="V42" i="37" s="1"/>
  <c r="I42" i="37" s="1"/>
  <c r="AA7" i="37"/>
  <c r="R42" i="37" s="1"/>
  <c r="S7" i="37"/>
  <c r="S7" i="34"/>
  <c r="AA7" i="34"/>
  <c r="R49" i="34" s="1"/>
  <c r="W7" i="34"/>
  <c r="AC7" i="34"/>
  <c r="V49" i="34" s="1"/>
  <c r="I49" i="34" s="1"/>
  <c r="AB7" i="21"/>
  <c r="T48" i="21" s="1"/>
  <c r="G48" i="21" s="1"/>
  <c r="U7" i="21"/>
  <c r="S7" i="21"/>
  <c r="AA7" i="21"/>
  <c r="R48" i="21" s="1"/>
  <c r="I52" i="33"/>
  <c r="J52" i="33" s="1"/>
  <c r="F48" i="35"/>
  <c r="G46" i="36"/>
  <c r="U7" i="37"/>
  <c r="AB7" i="37"/>
  <c r="T42" i="37" s="1"/>
  <c r="G42" i="37" s="1"/>
  <c r="U7" i="34"/>
  <c r="AB7" i="34"/>
  <c r="T49" i="34" s="1"/>
  <c r="G49" i="34" s="1"/>
  <c r="AC7" i="21"/>
  <c r="V48" i="21" s="1"/>
  <c r="I48" i="21" s="1"/>
  <c r="W7" i="21"/>
  <c r="C49" i="67"/>
  <c r="C18" i="67"/>
  <c r="C15" i="67"/>
  <c r="B40" i="1"/>
  <c r="O17" i="43"/>
  <c r="P17" i="43"/>
  <c r="N17" i="43"/>
  <c r="G20" i="43" s="1"/>
  <c r="C20" i="43" s="1"/>
  <c r="M17" i="43"/>
  <c r="Q73" i="15"/>
  <c r="Q60" i="15"/>
  <c r="Q73" i="67"/>
  <c r="Q60" i="67"/>
  <c r="Q74" i="15"/>
  <c r="Q61" i="15"/>
  <c r="Q61" i="67"/>
  <c r="Q74" i="67"/>
  <c r="M11" i="15"/>
  <c r="M11" i="67"/>
  <c r="J10" i="67" s="1"/>
  <c r="F11" i="15"/>
  <c r="F11" i="67"/>
  <c r="J6" i="67"/>
  <c r="AE8" i="1"/>
  <c r="F43" i="79"/>
  <c r="F7" i="78"/>
  <c r="F43" i="15"/>
  <c r="F7" i="79"/>
  <c r="F7" i="15"/>
  <c r="F43" i="78"/>
  <c r="M29" i="79"/>
  <c r="M29" i="78"/>
  <c r="M29" i="15"/>
  <c r="E265" i="3" l="1"/>
  <c r="E325" i="3"/>
  <c r="E308" i="3"/>
  <c r="E342" i="3"/>
  <c r="E373" i="3"/>
  <c r="E184" i="3"/>
  <c r="E46" i="3"/>
  <c r="E377" i="3"/>
  <c r="E444" i="3"/>
  <c r="E279" i="3"/>
  <c r="E320" i="3"/>
  <c r="E458" i="3"/>
  <c r="AY6" i="3"/>
  <c r="E289" i="3"/>
  <c r="E100" i="3"/>
  <c r="E251" i="3"/>
  <c r="E129" i="3"/>
  <c r="E154" i="3"/>
  <c r="E371" i="3"/>
  <c r="E109" i="3"/>
  <c r="E211" i="3"/>
  <c r="E75" i="3"/>
  <c r="E485" i="3"/>
  <c r="E20" i="3"/>
  <c r="E36" i="3"/>
  <c r="E234" i="3"/>
  <c r="E15" i="3"/>
  <c r="E80" i="3"/>
  <c r="E34" i="3"/>
  <c r="E275" i="3"/>
  <c r="E412" i="3"/>
  <c r="E222" i="3"/>
  <c r="E68" i="3"/>
  <c r="E84" i="3"/>
  <c r="E200" i="3"/>
  <c r="E484" i="3"/>
  <c r="E572" i="3"/>
  <c r="E273" i="3"/>
  <c r="E121" i="3"/>
  <c r="E585" i="3"/>
  <c r="E318" i="3"/>
  <c r="E56" i="3"/>
  <c r="J6" i="3"/>
  <c r="E524" i="3"/>
  <c r="E176" i="3"/>
  <c r="E364" i="3"/>
  <c r="E123" i="3"/>
  <c r="AQ6" i="3"/>
  <c r="E299" i="3"/>
  <c r="E137" i="3"/>
  <c r="E79" i="3"/>
  <c r="E22" i="3"/>
  <c r="E158" i="3"/>
  <c r="AF6" i="3"/>
  <c r="E206" i="3"/>
  <c r="E35" i="3"/>
  <c r="E324" i="3"/>
  <c r="E174" i="3"/>
  <c r="E96" i="3"/>
  <c r="E82" i="3"/>
  <c r="E323" i="3"/>
  <c r="E179" i="3"/>
  <c r="E19" i="3"/>
  <c r="E355" i="3"/>
  <c r="E33" i="3"/>
  <c r="E492" i="3"/>
  <c r="E249" i="3"/>
  <c r="E160" i="3"/>
  <c r="E467" i="3"/>
  <c r="E480" i="3"/>
  <c r="E30" i="3"/>
  <c r="E334" i="3"/>
  <c r="E316" i="3"/>
  <c r="E295" i="3"/>
  <c r="E166" i="3"/>
  <c r="E88" i="3"/>
  <c r="E477" i="3"/>
  <c r="E306" i="3"/>
  <c r="E31" i="3"/>
  <c r="E351" i="3"/>
  <c r="E132" i="3"/>
  <c r="E435" i="3"/>
  <c r="E108" i="3"/>
  <c r="E239" i="3"/>
  <c r="E101" i="3"/>
  <c r="E365" i="3"/>
  <c r="E218" i="3"/>
  <c r="E62" i="3"/>
  <c r="E50" i="3"/>
  <c r="E340" i="3"/>
  <c r="E147" i="3"/>
  <c r="E112" i="3"/>
  <c r="E52" i="3"/>
  <c r="E392" i="3"/>
  <c r="E339" i="3"/>
  <c r="E219" i="3"/>
  <c r="E194" i="3"/>
  <c r="E170" i="3"/>
  <c r="E38" i="3"/>
  <c r="E455" i="3"/>
  <c r="E83" i="3"/>
  <c r="E326" i="3"/>
  <c r="E287" i="3"/>
  <c r="E113" i="3"/>
  <c r="E102" i="3"/>
  <c r="E370" i="3"/>
  <c r="E232" i="3"/>
  <c r="E49" i="3"/>
  <c r="E86" i="3"/>
  <c r="E522" i="3"/>
  <c r="E383" i="3"/>
  <c r="E235" i="3"/>
  <c r="E220" i="3"/>
  <c r="E190" i="3"/>
  <c r="E78" i="3"/>
  <c r="E18" i="3"/>
  <c r="E21" i="3"/>
  <c r="E513" i="3"/>
  <c r="E309" i="3"/>
  <c r="E283" i="3"/>
  <c r="E264" i="3"/>
  <c r="E118" i="3"/>
  <c r="E81" i="3"/>
  <c r="E63" i="3"/>
  <c r="E381" i="3"/>
  <c r="E233" i="3"/>
  <c r="E144" i="3"/>
  <c r="E67" i="3"/>
  <c r="E23" i="3"/>
  <c r="E310" i="3"/>
  <c r="E300" i="3"/>
  <c r="E267" i="3"/>
  <c r="E142" i="3"/>
  <c r="E103" i="3"/>
  <c r="E64" i="3"/>
  <c r="E425" i="3"/>
  <c r="E441" i="3"/>
  <c r="E29" i="3"/>
  <c r="E44" i="3"/>
  <c r="AM6" i="3"/>
  <c r="E384" i="3"/>
  <c r="E317" i="3"/>
  <c r="E331" i="3"/>
  <c r="E291" i="3"/>
  <c r="E210" i="3"/>
  <c r="E272" i="3"/>
  <c r="E186" i="3"/>
  <c r="E182" i="3"/>
  <c r="E70" i="3"/>
  <c r="E404" i="3"/>
  <c r="E581" i="3"/>
  <c r="E478" i="3"/>
  <c r="E271" i="3"/>
  <c r="E473" i="3"/>
  <c r="E93" i="3"/>
  <c r="E14" i="3"/>
  <c r="E357" i="3"/>
  <c r="E257" i="3"/>
  <c r="E208" i="3"/>
  <c r="E95" i="3"/>
  <c r="E417" i="3"/>
  <c r="E554" i="3"/>
  <c r="E204" i="3"/>
  <c r="E401" i="3"/>
  <c r="E442" i="3"/>
  <c r="E65" i="39"/>
  <c r="E60" i="40"/>
  <c r="E247" i="3"/>
  <c r="AE6" i="3"/>
  <c r="E512" i="3"/>
  <c r="E575" i="3"/>
  <c r="E449" i="3"/>
  <c r="E419" i="3"/>
  <c r="E40" i="3"/>
  <c r="E119" i="3"/>
  <c r="Z6" i="3"/>
  <c r="E345" i="3"/>
  <c r="E517" i="3"/>
  <c r="E491" i="3"/>
  <c r="E479" i="3"/>
  <c r="E37" i="3"/>
  <c r="E152" i="3"/>
  <c r="E171" i="3"/>
  <c r="E256" i="3"/>
  <c r="E214" i="3"/>
  <c r="E274" i="3"/>
  <c r="E315" i="3"/>
  <c r="E394" i="3"/>
  <c r="E362" i="3"/>
  <c r="E580" i="3"/>
  <c r="E74" i="3"/>
  <c r="E32" i="3"/>
  <c r="E409" i="3"/>
  <c r="E569" i="3"/>
  <c r="E180" i="3"/>
  <c r="E107" i="3"/>
  <c r="E515" i="3"/>
  <c r="E414" i="3"/>
  <c r="E505" i="3"/>
  <c r="E531" i="3"/>
  <c r="E489" i="3"/>
  <c r="E28" i="3"/>
  <c r="E27" i="3"/>
  <c r="E92" i="3"/>
  <c r="E162" i="3"/>
  <c r="E126"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Q61" i="78"/>
  <c r="B71" i="72"/>
  <c r="B4" i="72"/>
  <c r="F1" i="79"/>
  <c r="F1" i="78"/>
  <c r="Q74" i="79"/>
  <c r="F65" i="40"/>
  <c r="G63" i="40"/>
  <c r="Q73" i="78"/>
  <c r="Q60" i="78"/>
  <c r="Q73" i="79"/>
  <c r="Q60" i="79"/>
  <c r="I70" i="39"/>
  <c r="J68" i="39"/>
  <c r="AB7" i="33"/>
  <c r="T48" i="33" s="1"/>
  <c r="G48" i="33" s="1"/>
  <c r="U7" i="33"/>
  <c r="S7" i="33"/>
  <c r="AA7" i="33"/>
  <c r="R48" i="33" s="1"/>
  <c r="E77" i="3"/>
  <c r="E173" i="3"/>
  <c r="E263" i="3"/>
  <c r="E523" i="3"/>
  <c r="E335" i="3"/>
  <c r="E71" i="3"/>
  <c r="E447" i="3"/>
  <c r="E546" i="3"/>
  <c r="E476" i="3"/>
  <c r="E403" i="3"/>
  <c r="AS6" i="3"/>
  <c r="E547" i="3"/>
  <c r="E367" i="3"/>
  <c r="E432" i="3"/>
  <c r="E548" i="3"/>
  <c r="E411" i="3"/>
  <c r="U6" i="3"/>
  <c r="E379" i="3"/>
  <c r="E145" i="3"/>
  <c r="E207" i="3"/>
  <c r="E236" i="3"/>
  <c r="E511" i="3"/>
  <c r="E482" i="3"/>
  <c r="E428" i="3"/>
  <c r="E488" i="3"/>
  <c r="E43" i="3"/>
  <c r="E94" i="3"/>
  <c r="E60" i="3"/>
  <c r="E42" i="3"/>
  <c r="L6" i="3"/>
  <c r="AL6" i="3"/>
  <c r="E372" i="3"/>
  <c r="E356" i="3"/>
  <c r="E333" i="3"/>
  <c r="E391" i="3"/>
  <c r="E346" i="3"/>
  <c r="E332" i="3"/>
  <c r="E276" i="3"/>
  <c r="E243" i="3"/>
  <c r="E226" i="3"/>
  <c r="E281" i="3"/>
  <c r="E242" i="3"/>
  <c r="E225" i="3"/>
  <c r="E202" i="3"/>
  <c r="E139" i="3"/>
  <c r="E187" i="3"/>
  <c r="E131" i="3"/>
  <c r="E57" i="3"/>
  <c r="E90" i="3"/>
  <c r="E39" i="3"/>
  <c r="E436" i="3"/>
  <c r="E520" i="3"/>
  <c r="E460" i="3"/>
  <c r="E413" i="3"/>
  <c r="E582" i="3"/>
  <c r="E557" i="3"/>
  <c r="E400" i="3"/>
  <c r="AO6" i="3"/>
  <c r="E327" i="3"/>
  <c r="E221" i="3"/>
  <c r="E178" i="3"/>
  <c r="E25" i="3"/>
  <c r="E463" i="3"/>
  <c r="E483" i="3"/>
  <c r="E498" i="3"/>
  <c r="I3" i="6"/>
  <c r="E541" i="3"/>
  <c r="R6" i="3"/>
  <c r="E199" i="3"/>
  <c r="E91" i="3"/>
  <c r="E181" i="3"/>
  <c r="T6" i="3"/>
  <c r="E556" i="3"/>
  <c r="E431" i="3"/>
  <c r="E302" i="3"/>
  <c r="E120" i="3"/>
  <c r="E278" i="3"/>
  <c r="W6" i="3"/>
  <c r="E3" i="6"/>
  <c r="AK6" i="3"/>
  <c r="E198" i="3"/>
  <c r="E115" i="3"/>
  <c r="E41" i="3"/>
  <c r="E104" i="3"/>
  <c r="E26" i="3"/>
  <c r="E420" i="3"/>
  <c r="E470" i="3"/>
  <c r="E452" i="3"/>
  <c r="E494" i="3"/>
  <c r="E13" i="3"/>
  <c r="AP6" i="3"/>
  <c r="E255" i="3"/>
  <c r="E430" i="3"/>
  <c r="E466" i="3"/>
  <c r="E502" i="3"/>
  <c r="E499" i="3"/>
  <c r="E286" i="3"/>
  <c r="E253" i="3"/>
  <c r="E117" i="3"/>
  <c r="E434" i="3"/>
  <c r="E549" i="3"/>
  <c r="E223" i="3"/>
  <c r="E525" i="3"/>
  <c r="E456" i="3"/>
  <c r="E451" i="3"/>
  <c r="E228" i="3"/>
  <c r="AI6" i="3"/>
  <c r="E282" i="3"/>
  <c r="E304" i="3"/>
  <c r="E246" i="3"/>
  <c r="E321" i="3"/>
  <c r="E437" i="3"/>
  <c r="E268" i="3"/>
  <c r="E227" i="3"/>
  <c r="E89" i="3"/>
  <c r="E114" i="3"/>
  <c r="E66" i="39"/>
  <c r="E205" i="3"/>
  <c r="C34" i="69"/>
  <c r="C38" i="69" s="1"/>
  <c r="E358" i="3"/>
  <c r="E193" i="3"/>
  <c r="N6" i="3"/>
  <c r="E352" i="3"/>
  <c r="E526" i="3"/>
  <c r="E529" i="3"/>
  <c r="E185" i="3"/>
  <c r="E570" i="3"/>
  <c r="E535" i="3"/>
  <c r="E388" i="3"/>
  <c r="E402" i="3"/>
  <c r="E424" i="3"/>
  <c r="E330" i="3"/>
  <c r="E568" i="3"/>
  <c r="E418" i="3"/>
  <c r="E390" i="3"/>
  <c r="X6" i="3"/>
  <c r="E213" i="3"/>
  <c r="E319" i="3"/>
  <c r="E285" i="3"/>
  <c r="AJ6" i="3"/>
  <c r="E385" i="3"/>
  <c r="E423" i="3"/>
  <c r="E191" i="3"/>
  <c r="E497" i="3"/>
  <c r="E360" i="3"/>
  <c r="E408" i="3"/>
  <c r="E469" i="3"/>
  <c r="E405" i="3"/>
  <c r="E534" i="3"/>
  <c r="E369" i="3"/>
  <c r="E197" i="3"/>
  <c r="E140" i="3"/>
  <c r="E196" i="3"/>
  <c r="E397" i="3"/>
  <c r="E314" i="3"/>
  <c r="E136" i="3"/>
  <c r="E161" i="3"/>
  <c r="E149" i="3"/>
  <c r="E212" i="3"/>
  <c r="E167" i="3"/>
  <c r="E141" i="3"/>
  <c r="E312" i="3"/>
  <c r="AD6" i="3"/>
  <c r="E542" i="3"/>
  <c r="E552" i="3"/>
  <c r="E421" i="3"/>
  <c r="E464" i="3"/>
  <c r="E487" i="3"/>
  <c r="E398" i="3"/>
  <c r="E416" i="3"/>
  <c r="E459" i="3"/>
  <c r="E374" i="3"/>
  <c r="E566" i="3"/>
  <c r="E500" i="3"/>
  <c r="E571" i="3"/>
  <c r="E577" i="3"/>
  <c r="E537" i="3"/>
  <c r="E429" i="3"/>
  <c r="E450" i="3"/>
  <c r="E468" i="3"/>
  <c r="E471" i="3"/>
  <c r="E496" i="3"/>
  <c r="E433" i="3"/>
  <c r="E454" i="3"/>
  <c r="E475" i="3"/>
  <c r="E55" i="3"/>
  <c r="E72" i="3"/>
  <c r="E106" i="3"/>
  <c r="E54" i="3"/>
  <c r="E73" i="3"/>
  <c r="E111" i="3"/>
  <c r="E146" i="3"/>
  <c r="E168" i="3"/>
  <c r="E203" i="3"/>
  <c r="E150" i="3"/>
  <c r="E262" i="3"/>
  <c r="E252" i="3"/>
  <c r="E164" i="3"/>
  <c r="E576" i="3"/>
  <c r="AG6" i="3"/>
  <c r="E448" i="3"/>
  <c r="P6" i="3"/>
  <c r="E443" i="3"/>
  <c r="E558" i="3"/>
  <c r="M7" i="78"/>
  <c r="J6" i="78" s="1"/>
  <c r="F50" i="78"/>
  <c r="C49" i="78" s="1"/>
  <c r="C6" i="78"/>
  <c r="C10" i="78" s="1"/>
  <c r="C5" i="78" s="1"/>
  <c r="F71" i="78"/>
  <c r="F50" i="79"/>
  <c r="C49" i="79" s="1"/>
  <c r="M7" i="79"/>
  <c r="J6" i="79" s="1"/>
  <c r="C6" i="79"/>
  <c r="C10" i="79" s="1"/>
  <c r="C5" i="79" s="1"/>
  <c r="F71" i="79"/>
  <c r="M7" i="15"/>
  <c r="J6" i="15" s="1"/>
  <c r="J10" i="15" s="1"/>
  <c r="J5" i="15" s="1"/>
  <c r="F50" i="15"/>
  <c r="C49" i="15" s="1"/>
  <c r="C6" i="15"/>
  <c r="F71" i="15"/>
  <c r="J10" i="78"/>
  <c r="J5" i="78" s="1"/>
  <c r="J24" i="78" s="1"/>
  <c r="J10" i="79"/>
  <c r="J5" i="79" s="1"/>
  <c r="J24" i="79" s="1"/>
  <c r="M7" i="1"/>
  <c r="M6" i="1"/>
  <c r="Q16" i="1"/>
  <c r="H16" i="1"/>
  <c r="G16" i="1"/>
  <c r="K16" i="1"/>
  <c r="B29" i="1" s="1"/>
  <c r="C8" i="68" s="1"/>
  <c r="M8" i="1"/>
  <c r="F24" i="78"/>
  <c r="C24" i="78" s="1"/>
  <c r="F24" i="79"/>
  <c r="C53" i="79"/>
  <c r="C53" i="78"/>
  <c r="C35" i="43"/>
  <c r="C33" i="43"/>
  <c r="C36" i="43"/>
  <c r="C34" i="43"/>
  <c r="T16" i="43"/>
  <c r="V16" i="43" s="1"/>
  <c r="T15" i="43"/>
  <c r="V15" i="43" s="1"/>
  <c r="C37" i="43"/>
  <c r="T14" i="43"/>
  <c r="V14" i="43" s="1"/>
  <c r="T8" i="43"/>
  <c r="V8" i="43" s="1"/>
  <c r="C38" i="43"/>
  <c r="T10" i="43"/>
  <c r="V10" i="43" s="1"/>
  <c r="T11" i="43"/>
  <c r="V11" i="43" s="1"/>
  <c r="T9" i="43"/>
  <c r="V9" i="43" s="1"/>
  <c r="T13" i="43"/>
  <c r="V13" i="43" s="1"/>
  <c r="T12" i="43"/>
  <c r="V12" i="43" s="1"/>
  <c r="C39" i="43"/>
  <c r="F50" i="11"/>
  <c r="K22" i="6"/>
  <c r="M22" i="6" s="1"/>
  <c r="I22" i="6" s="1"/>
  <c r="S22" i="6" s="1"/>
  <c r="M20" i="6"/>
  <c r="I20" i="6" s="1"/>
  <c r="S20" i="6" s="1"/>
  <c r="S7" i="1"/>
  <c r="E296" i="3"/>
  <c r="E16" i="3"/>
  <c r="E229" i="3"/>
  <c r="E396" i="3"/>
  <c r="I6" i="3"/>
  <c r="E368" i="3"/>
  <c r="E135" i="3"/>
  <c r="E157" i="3"/>
  <c r="E85" i="3"/>
  <c r="E238" i="3"/>
  <c r="E116" i="3"/>
  <c r="E105" i="3"/>
  <c r="E393" i="3"/>
  <c r="E493" i="3"/>
  <c r="E564" i="3"/>
  <c r="E543" i="3"/>
  <c r="E427" i="3"/>
  <c r="E486" i="3"/>
  <c r="E507" i="3"/>
  <c r="E422" i="3"/>
  <c r="E440" i="3"/>
  <c r="E490" i="3"/>
  <c r="E376" i="3"/>
  <c r="AH6" i="3"/>
  <c r="E322" i="3"/>
  <c r="E188" i="3"/>
  <c r="E245" i="3"/>
  <c r="E382" i="3"/>
  <c r="E578" i="3"/>
  <c r="E518" i="3"/>
  <c r="E201" i="3"/>
  <c r="E509" i="3"/>
  <c r="E217" i="3"/>
  <c r="E366" i="3"/>
  <c r="E574" i="3"/>
  <c r="E153" i="3"/>
  <c r="E237" i="3"/>
  <c r="E565" i="3"/>
  <c r="E17" i="3"/>
  <c r="E583" i="3"/>
  <c r="E336" i="3"/>
  <c r="E293" i="3"/>
  <c r="S6" i="3"/>
  <c r="E506" i="3"/>
  <c r="E338" i="3"/>
  <c r="E298" i="3"/>
  <c r="E156" i="3"/>
  <c r="E177" i="3"/>
  <c r="Q6" i="3"/>
  <c r="E481" i="3"/>
  <c r="E344" i="3"/>
  <c r="E159" i="3"/>
  <c r="E353" i="3"/>
  <c r="E143" i="3"/>
  <c r="E530" i="3"/>
  <c r="E172" i="3"/>
  <c r="E567" i="3"/>
  <c r="E311" i="3"/>
  <c r="AB6" i="3"/>
  <c r="E216" i="3"/>
  <c r="E151" i="3"/>
  <c r="E313" i="3"/>
  <c r="E438" i="3"/>
  <c r="E350" i="3"/>
  <c r="E555" i="3"/>
  <c r="E550" i="3"/>
  <c r="E559" i="3"/>
  <c r="E130" i="3"/>
  <c r="E45" i="3"/>
  <c r="E269" i="3"/>
  <c r="E415" i="3"/>
  <c r="E294" i="3"/>
  <c r="E573" i="3"/>
  <c r="E510" i="3"/>
  <c r="E260" i="3"/>
  <c r="E53" i="3"/>
  <c r="E337" i="3"/>
  <c r="E527" i="3"/>
  <c r="E189" i="3"/>
  <c r="E301" i="3"/>
  <c r="E407" i="3"/>
  <c r="E175" i="3"/>
  <c r="E562" i="3"/>
  <c r="E290" i="3"/>
  <c r="E134" i="3"/>
  <c r="E551" i="3"/>
  <c r="E329" i="3"/>
  <c r="E508" i="3"/>
  <c r="E586" i="3"/>
  <c r="E457" i="3"/>
  <c r="E519" i="3"/>
  <c r="E536" i="3"/>
  <c r="E254" i="3"/>
  <c r="E230" i="3"/>
  <c r="V6" i="3"/>
  <c r="E128" i="3"/>
  <c r="E545" i="3"/>
  <c r="E395" i="3"/>
  <c r="E343" i="3"/>
  <c r="E125" i="3"/>
  <c r="E495" i="3"/>
  <c r="E99" i="3"/>
  <c r="E288" i="3"/>
  <c r="E474" i="3"/>
  <c r="E532" i="3"/>
  <c r="E224" i="3"/>
  <c r="E244" i="3"/>
  <c r="E61" i="3"/>
  <c r="E169" i="3"/>
  <c r="E215" i="3"/>
  <c r="E387" i="3"/>
  <c r="M6" i="3"/>
  <c r="E514" i="3"/>
  <c r="E165" i="3"/>
  <c r="E461" i="3"/>
  <c r="E539" i="3"/>
  <c r="E445" i="3"/>
  <c r="E563" i="3"/>
  <c r="E69" i="3"/>
  <c r="E305" i="3"/>
  <c r="E410" i="3"/>
  <c r="E553" i="3"/>
  <c r="E579" i="3"/>
  <c r="AN6" i="3"/>
  <c r="E303" i="3"/>
  <c r="E148" i="3"/>
  <c r="E587" i="3"/>
  <c r="E465" i="3"/>
  <c r="E406" i="3"/>
  <c r="E472" i="3"/>
  <c r="E560" i="3"/>
  <c r="K6" i="3"/>
  <c r="E133" i="3"/>
  <c r="E277" i="3"/>
  <c r="E122" i="3"/>
  <c r="E453" i="3"/>
  <c r="E516" i="3"/>
  <c r="E231" i="3"/>
  <c r="E380" i="3"/>
  <c r="E439" i="3"/>
  <c r="E538" i="3"/>
  <c r="E561" i="3"/>
  <c r="AR6" i="3"/>
  <c r="E533" i="3"/>
  <c r="E270" i="3"/>
  <c r="E124" i="3"/>
  <c r="E280" i="3"/>
  <c r="E399" i="3"/>
  <c r="AA6" i="3"/>
  <c r="E347" i="3"/>
  <c r="E503" i="3"/>
  <c r="E361" i="3"/>
  <c r="E183" i="3"/>
  <c r="E528" i="3"/>
  <c r="E261" i="3"/>
  <c r="AT6" i="3"/>
  <c r="E501" i="3"/>
  <c r="E426" i="3"/>
  <c r="O6" i="3"/>
  <c r="E359" i="3"/>
  <c r="E97" i="3"/>
  <c r="F50" i="69"/>
  <c r="K23" i="6"/>
  <c r="M23" i="6" s="1"/>
  <c r="I23" i="6" s="1"/>
  <c r="S23" i="6" s="1"/>
  <c r="E31" i="6"/>
  <c r="K25" i="6"/>
  <c r="M25" i="6" s="1"/>
  <c r="I25" i="6" s="1"/>
  <c r="S25" i="6" s="1"/>
  <c r="K21" i="6"/>
  <c r="K26" i="6"/>
  <c r="M26" i="6" s="1"/>
  <c r="I26" i="6" s="1"/>
  <c r="S26" i="6" s="1"/>
  <c r="K24" i="6"/>
  <c r="M24" i="6" s="1"/>
  <c r="I24" i="6" s="1"/>
  <c r="S24" i="6" s="1"/>
  <c r="K19" i="6"/>
  <c r="S6" i="1" s="1"/>
  <c r="D3" i="21"/>
  <c r="D19" i="11"/>
  <c r="C19" i="11" s="1"/>
  <c r="D37" i="11"/>
  <c r="D14" i="12"/>
  <c r="M18" i="9"/>
  <c r="B118" i="9" s="1"/>
  <c r="B14" i="74" s="1"/>
  <c r="B1" i="74" s="1"/>
  <c r="D3" i="34"/>
  <c r="E6" i="6"/>
  <c r="C17" i="4"/>
  <c r="B4" i="52" s="1"/>
  <c r="B43" i="72" s="1"/>
  <c r="L18" i="9"/>
  <c r="D3" i="33"/>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519" i="3"/>
  <c r="AY101" i="3"/>
  <c r="AY96" i="3"/>
  <c r="AY51" i="3"/>
  <c r="AY124" i="3"/>
  <c r="AY281" i="3"/>
  <c r="AY236"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G53" i="34"/>
  <c r="H53" i="34" s="1"/>
  <c r="G54" i="34"/>
  <c r="H54" i="34" s="1"/>
  <c r="G46" i="37"/>
  <c r="H46" i="37" s="1"/>
  <c r="G47" i="37"/>
  <c r="H47" i="37" s="1"/>
  <c r="H46" i="36"/>
  <c r="I46" i="36" s="1"/>
  <c r="J46" i="36" s="1"/>
  <c r="K46" i="36" s="1"/>
  <c r="L46" i="36" s="1"/>
  <c r="M46" i="36" s="1"/>
  <c r="N46" i="36" s="1"/>
  <c r="O46" i="36" s="1"/>
  <c r="F7" i="36"/>
  <c r="I52" i="21"/>
  <c r="J52" i="21" s="1"/>
  <c r="G48" i="35"/>
  <c r="E48" i="21"/>
  <c r="I53" i="21" s="1"/>
  <c r="J53" i="21" s="1"/>
  <c r="R49" i="21"/>
  <c r="I53" i="34"/>
  <c r="J53" i="34" s="1"/>
  <c r="R50" i="34"/>
  <c r="E49" i="34"/>
  <c r="I46" i="37"/>
  <c r="J46" i="37" s="1"/>
  <c r="G52" i="21"/>
  <c r="H52" i="21" s="1"/>
  <c r="G53" i="21"/>
  <c r="H53" i="21" s="1"/>
  <c r="E42" i="37"/>
  <c r="R43" i="37"/>
  <c r="C19" i="67"/>
  <c r="C20" i="67" s="1"/>
  <c r="J5" i="67"/>
  <c r="J24" i="67" s="1"/>
  <c r="C10" i="67"/>
  <c r="C5" i="67" s="1"/>
  <c r="C53" i="67"/>
  <c r="C48" i="67" s="1"/>
  <c r="F25" i="12"/>
  <c r="F24" i="67"/>
  <c r="C24" i="67" s="1"/>
  <c r="F22" i="68"/>
  <c r="F24" i="15"/>
  <c r="C24" i="15" s="1"/>
  <c r="F22" i="69"/>
  <c r="F22" i="11"/>
  <c r="C10" i="15"/>
  <c r="C53" i="15"/>
  <c r="AE7" i="1"/>
  <c r="C17" i="79"/>
  <c r="C16" i="78"/>
  <c r="AE6" i="1"/>
  <c r="C17" i="78"/>
  <c r="C16" i="15"/>
  <c r="C16" i="79"/>
  <c r="F41" i="15"/>
  <c r="AC6" i="3" l="1"/>
  <c r="J26" i="79"/>
  <c r="H63" i="40"/>
  <c r="G65" i="40"/>
  <c r="J7" i="36"/>
  <c r="H7" i="36"/>
  <c r="E48" i="33"/>
  <c r="R49" i="33"/>
  <c r="J70" i="39"/>
  <c r="K68" i="39"/>
  <c r="G52" i="33"/>
  <c r="H52" i="33" s="1"/>
  <c r="G53" i="33"/>
  <c r="H53" i="33" s="1"/>
  <c r="C5" i="15"/>
  <c r="C32" i="15" s="1"/>
  <c r="C35" i="69"/>
  <c r="H6" i="3"/>
  <c r="E6" i="3" s="1"/>
  <c r="C48" i="15"/>
  <c r="C66" i="15" s="1"/>
  <c r="C48" i="78"/>
  <c r="C60" i="78" s="1"/>
  <c r="J18" i="79"/>
  <c r="J26" i="78"/>
  <c r="J26" i="15"/>
  <c r="J29" i="15" s="1"/>
  <c r="J24" i="15"/>
  <c r="J18" i="15"/>
  <c r="J18" i="78"/>
  <c r="C48" i="79"/>
  <c r="C66" i="79" s="1"/>
  <c r="O8" i="1"/>
  <c r="P8" i="1" s="1"/>
  <c r="F10" i="39"/>
  <c r="H10" i="39"/>
  <c r="J10" i="40"/>
  <c r="J10" i="39"/>
  <c r="H10" i="40"/>
  <c r="F10" i="40"/>
  <c r="F27" i="69"/>
  <c r="F27" i="68"/>
  <c r="F28" i="12"/>
  <c r="C29" i="12" s="1"/>
  <c r="D28" i="12" s="1"/>
  <c r="F27" i="11"/>
  <c r="E6" i="70"/>
  <c r="E7" i="70"/>
  <c r="O6" i="1"/>
  <c r="P6" i="1" s="1"/>
  <c r="M16" i="1"/>
  <c r="O7" i="1"/>
  <c r="P7" i="1" s="1"/>
  <c r="F69" i="15"/>
  <c r="C38" i="79"/>
  <c r="C32" i="79"/>
  <c r="C24" i="79"/>
  <c r="C38" i="78"/>
  <c r="C32" i="78"/>
  <c r="E39" i="43"/>
  <c r="G39" i="43"/>
  <c r="I39" i="43" s="1"/>
  <c r="G38" i="43"/>
  <c r="I38" i="43" s="1"/>
  <c r="E38" i="43"/>
  <c r="G34" i="43"/>
  <c r="I34" i="43" s="1"/>
  <c r="E34" i="43"/>
  <c r="G33" i="43"/>
  <c r="I33" i="43" s="1"/>
  <c r="E33" i="43"/>
  <c r="E37" i="43"/>
  <c r="G37" i="43"/>
  <c r="I37" i="43" s="1"/>
  <c r="G36" i="43"/>
  <c r="I36" i="43" s="1"/>
  <c r="E36" i="43"/>
  <c r="E35" i="43"/>
  <c r="G35" i="43"/>
  <c r="I35" i="43" s="1"/>
  <c r="AR6" i="1"/>
  <c r="AQ6" i="1"/>
  <c r="T6" i="1"/>
  <c r="M21" i="6"/>
  <c r="I21" i="6" s="1"/>
  <c r="S21" i="6" s="1"/>
  <c r="S8" i="1"/>
  <c r="AR7" i="1"/>
  <c r="T7" i="1"/>
  <c r="AQ7" i="1"/>
  <c r="K27" i="6"/>
  <c r="M19" i="6"/>
  <c r="H20" i="6"/>
  <c r="M19" i="9"/>
  <c r="C118" i="9" s="1"/>
  <c r="C14" i="74" s="1"/>
  <c r="B2" i="74" s="1"/>
  <c r="D19" i="6"/>
  <c r="D26" i="6"/>
  <c r="C18" i="4"/>
  <c r="D8" i="6"/>
  <c r="D23" i="6"/>
  <c r="D14" i="6"/>
  <c r="D25" i="6"/>
  <c r="D22" i="6"/>
  <c r="D24" i="6"/>
  <c r="D6" i="6"/>
  <c r="D9" i="6"/>
  <c r="D10" i="6"/>
  <c r="L19" i="9"/>
  <c r="D29" i="6"/>
  <c r="H25" i="6"/>
  <c r="H23" i="6"/>
  <c r="H26" i="6"/>
  <c r="D15" i="6"/>
  <c r="D21" i="6"/>
  <c r="D20" i="6"/>
  <c r="D5" i="6"/>
  <c r="D12" i="6"/>
  <c r="D11" i="6"/>
  <c r="D13" i="6"/>
  <c r="D28" i="6"/>
  <c r="E61" i="40"/>
  <c r="H22" i="6"/>
  <c r="H24" i="6"/>
  <c r="D17" i="12"/>
  <c r="C17" i="12" s="1"/>
  <c r="C20" i="11"/>
  <c r="D10" i="68"/>
  <c r="D20" i="12"/>
  <c r="C20" i="12" s="1"/>
  <c r="C18" i="12" s="1"/>
  <c r="D10" i="11"/>
  <c r="C10" i="11" s="1"/>
  <c r="D10" i="69"/>
  <c r="C8" i="74"/>
  <c r="C30" i="43"/>
  <c r="E30" i="43" s="1"/>
  <c r="E29" i="43"/>
  <c r="C43" i="37"/>
  <c r="B2" i="37" s="1"/>
  <c r="B3" i="37" s="1"/>
  <c r="C42" i="37"/>
  <c r="AC7" i="36"/>
  <c r="V36" i="36" s="1"/>
  <c r="I36" i="36" s="1"/>
  <c r="W7" i="36"/>
  <c r="E47" i="37"/>
  <c r="F47" i="37" s="1"/>
  <c r="E46" i="37"/>
  <c r="F46" i="37" s="1"/>
  <c r="I47" i="37"/>
  <c r="J47" i="37" s="1"/>
  <c r="C49" i="34"/>
  <c r="C50" i="34"/>
  <c r="B2" i="34" s="1"/>
  <c r="B3" i="34" s="1"/>
  <c r="E52" i="21"/>
  <c r="F52" i="21" s="1"/>
  <c r="E53" i="21"/>
  <c r="F53" i="21" s="1"/>
  <c r="H48" i="35"/>
  <c r="AA7" i="36"/>
  <c r="R36" i="36" s="1"/>
  <c r="S7" i="36"/>
  <c r="E54" i="34"/>
  <c r="F54" i="34" s="1"/>
  <c r="E53" i="34"/>
  <c r="F53" i="34" s="1"/>
  <c r="I54" i="34"/>
  <c r="J54" i="34" s="1"/>
  <c r="C49" i="21"/>
  <c r="B2" i="21" s="1"/>
  <c r="B3" i="21" s="1"/>
  <c r="C48" i="21"/>
  <c r="U7" i="36"/>
  <c r="AB7" i="36"/>
  <c r="T36" i="36" s="1"/>
  <c r="G36" i="36" s="1"/>
  <c r="J26" i="67"/>
  <c r="J29" i="67" s="1"/>
  <c r="J18" i="67"/>
  <c r="C26" i="69"/>
  <c r="D22" i="69" s="1"/>
  <c r="C44" i="69"/>
  <c r="D41" i="69" s="1"/>
  <c r="C26" i="68"/>
  <c r="D22" i="68" s="1"/>
  <c r="C44" i="68"/>
  <c r="D41" i="68" s="1"/>
  <c r="C26" i="12"/>
  <c r="D25" i="12" s="1"/>
  <c r="C32" i="67"/>
  <c r="C38" i="67"/>
  <c r="C26" i="67"/>
  <c r="C26" i="11"/>
  <c r="D22" i="11" s="1"/>
  <c r="C24" i="11"/>
  <c r="C44" i="11"/>
  <c r="D41" i="11" s="1"/>
  <c r="C23" i="11"/>
  <c r="C66" i="67"/>
  <c r="C60" i="67"/>
  <c r="C23" i="67"/>
  <c r="F41" i="78"/>
  <c r="F41" i="79"/>
  <c r="C14" i="79"/>
  <c r="C17" i="15"/>
  <c r="C14" i="78"/>
  <c r="F69" i="79" l="1"/>
  <c r="J29" i="79"/>
  <c r="F69" i="78"/>
  <c r="J29" i="78"/>
  <c r="H65" i="40"/>
  <c r="I63" i="40"/>
  <c r="K70" i="39"/>
  <c r="L68" i="39"/>
  <c r="C49" i="33"/>
  <c r="B2" i="33" s="1"/>
  <c r="B3" i="33" s="1"/>
  <c r="C48" i="33"/>
  <c r="E52" i="33"/>
  <c r="F52" i="33" s="1"/>
  <c r="E53" i="33"/>
  <c r="F53" i="33" s="1"/>
  <c r="I53" i="33"/>
  <c r="J53" i="33" s="1"/>
  <c r="C60" i="15"/>
  <c r="C28" i="11"/>
  <c r="C27" i="11" s="1"/>
  <c r="C38" i="15"/>
  <c r="C60" i="79"/>
  <c r="H21" i="6"/>
  <c r="R21" i="6" s="1"/>
  <c r="R8" i="1" s="1"/>
  <c r="C66" i="78"/>
  <c r="P16" i="1"/>
  <c r="C11" i="12" s="1"/>
  <c r="C12" i="12" s="1"/>
  <c r="C18" i="78"/>
  <c r="C15" i="78"/>
  <c r="C15" i="79"/>
  <c r="C18" i="79"/>
  <c r="L16" i="1"/>
  <c r="N16" i="1"/>
  <c r="O16" i="1"/>
  <c r="C47" i="11"/>
  <c r="D45" i="11" s="1"/>
  <c r="C29" i="11"/>
  <c r="D27" i="11" s="1"/>
  <c r="C47" i="68"/>
  <c r="D45" i="68" s="1"/>
  <c r="C29" i="68"/>
  <c r="D27" i="68" s="1"/>
  <c r="AA10" i="40"/>
  <c r="S10" i="40"/>
  <c r="AC10" i="39"/>
  <c r="W10" i="39"/>
  <c r="U10" i="39"/>
  <c r="AB10" i="39"/>
  <c r="S16" i="1"/>
  <c r="E8" i="70"/>
  <c r="E2" i="70" s="1"/>
  <c r="C47" i="69"/>
  <c r="D45" i="69" s="1"/>
  <c r="C29" i="69"/>
  <c r="D27" i="69" s="1"/>
  <c r="AB10" i="40"/>
  <c r="U10" i="40"/>
  <c r="W10" i="40"/>
  <c r="AC10" i="40"/>
  <c r="S10" i="39"/>
  <c r="AA10" i="39"/>
  <c r="C33" i="78"/>
  <c r="J59" i="78"/>
  <c r="J60" i="78" s="1"/>
  <c r="C27" i="43"/>
  <c r="C26" i="43"/>
  <c r="C25" i="11"/>
  <c r="C22" i="11" s="1"/>
  <c r="AQ8" i="1"/>
  <c r="AR8" i="1"/>
  <c r="T8" i="1"/>
  <c r="I19" i="6"/>
  <c r="M27" i="6"/>
  <c r="D30" i="6"/>
  <c r="R26" i="6"/>
  <c r="R23" i="6"/>
  <c r="D16" i="6"/>
  <c r="D19" i="69"/>
  <c r="C10" i="69"/>
  <c r="C8" i="69" s="1"/>
  <c r="C5" i="69" s="1"/>
  <c r="R20" i="6"/>
  <c r="R7" i="1" s="1"/>
  <c r="R22" i="6"/>
  <c r="D8" i="74"/>
  <c r="C10" i="68"/>
  <c r="D19" i="68"/>
  <c r="R24" i="6"/>
  <c r="R25" i="6"/>
  <c r="A7" i="51"/>
  <c r="B7" i="72" s="1"/>
  <c r="A10" i="51"/>
  <c r="B9" i="72" s="1"/>
  <c r="C4" i="52"/>
  <c r="B45" i="72" s="1"/>
  <c r="D27" i="6"/>
  <c r="G40" i="36"/>
  <c r="H40" i="36" s="1"/>
  <c r="G41" i="36"/>
  <c r="H41" i="36" s="1"/>
  <c r="R37" i="36"/>
  <c r="E36" i="36"/>
  <c r="I41" i="36" s="1"/>
  <c r="J41" i="36" s="1"/>
  <c r="I48" i="35"/>
  <c r="I40" i="36"/>
  <c r="J40" i="36" s="1"/>
  <c r="C29" i="67"/>
  <c r="C13" i="67" s="1"/>
  <c r="C33" i="15"/>
  <c r="J59" i="15"/>
  <c r="J60" i="15" s="1"/>
  <c r="F35" i="15"/>
  <c r="E6" i="76"/>
  <c r="M21" i="15"/>
  <c r="C14" i="15"/>
  <c r="F35" i="78"/>
  <c r="M21" i="78"/>
  <c r="I65" i="40" l="1"/>
  <c r="J63" i="40"/>
  <c r="M68" i="39"/>
  <c r="L70" i="39"/>
  <c r="C15" i="12"/>
  <c r="C19" i="78"/>
  <c r="C20" i="78" s="1"/>
  <c r="C26" i="78" s="1"/>
  <c r="C19" i="79"/>
  <c r="C20" i="79" s="1"/>
  <c r="C26" i="79" s="1"/>
  <c r="C15" i="15"/>
  <c r="C18" i="15"/>
  <c r="T16" i="1"/>
  <c r="C31" i="11"/>
  <c r="F34" i="68"/>
  <c r="F34" i="11"/>
  <c r="F11" i="12"/>
  <c r="C14" i="12" s="1"/>
  <c r="J20" i="15"/>
  <c r="F63" i="15"/>
  <c r="C62" i="15" s="1"/>
  <c r="C34" i="15"/>
  <c r="C31" i="15" s="1"/>
  <c r="J20" i="78"/>
  <c r="C34" i="78"/>
  <c r="C31" i="78" s="1"/>
  <c r="F63" i="78"/>
  <c r="C62" i="78" s="1"/>
  <c r="C33" i="79"/>
  <c r="J59" i="79"/>
  <c r="J60" i="79" s="1"/>
  <c r="Q48" i="79" s="1"/>
  <c r="Q48" i="78"/>
  <c r="E2" i="76"/>
  <c r="B2" i="43"/>
  <c r="C6" i="68" s="1"/>
  <c r="C7" i="68" s="1"/>
  <c r="C5" i="68" s="1"/>
  <c r="C23" i="68" s="1"/>
  <c r="H19" i="6"/>
  <c r="I27" i="6"/>
  <c r="S19" i="6"/>
  <c r="S27" i="6" s="1"/>
  <c r="D31" i="6"/>
  <c r="I5" i="6" s="1"/>
  <c r="C19" i="68"/>
  <c r="D37" i="68"/>
  <c r="C23" i="69"/>
  <c r="C19" i="69"/>
  <c r="D37" i="69"/>
  <c r="C37" i="69" s="1"/>
  <c r="C33" i="69" s="1"/>
  <c r="J48" i="35"/>
  <c r="C37" i="36"/>
  <c r="B2" i="36" s="1"/>
  <c r="B3" i="36" s="1"/>
  <c r="C36" i="36"/>
  <c r="E40" i="36"/>
  <c r="F40" i="36" s="1"/>
  <c r="E41" i="36"/>
  <c r="F41" i="36" s="1"/>
  <c r="J59" i="67"/>
  <c r="J60" i="67" s="1"/>
  <c r="L46" i="67" s="1"/>
  <c r="C33" i="67"/>
  <c r="C31" i="67" s="1"/>
  <c r="J14" i="67"/>
  <c r="J13" i="67" s="1"/>
  <c r="J23" i="67" s="1"/>
  <c r="J19" i="67"/>
  <c r="J17" i="67" s="1"/>
  <c r="Q49" i="67"/>
  <c r="C57" i="67"/>
  <c r="C61" i="67" s="1"/>
  <c r="C59" i="67" s="1"/>
  <c r="C36" i="67"/>
  <c r="Q48" i="15"/>
  <c r="C75" i="67"/>
  <c r="Q70" i="67"/>
  <c r="C37" i="67"/>
  <c r="C56" i="67"/>
  <c r="C65" i="67" s="1"/>
  <c r="B6" i="76"/>
  <c r="K63" i="40" l="1"/>
  <c r="J65" i="40"/>
  <c r="M70" i="39"/>
  <c r="N68" i="39"/>
  <c r="C16" i="12"/>
  <c r="C21" i="12" s="1"/>
  <c r="C22" i="12" s="1"/>
  <c r="C19" i="15"/>
  <c r="C20" i="15" s="1"/>
  <c r="C26" i="15" s="1"/>
  <c r="C23" i="79"/>
  <c r="C29" i="79" s="1"/>
  <c r="C36" i="79" s="1"/>
  <c r="C23" i="78"/>
  <c r="C29" i="78" s="1"/>
  <c r="C36" i="78" s="1"/>
  <c r="C36" i="68"/>
  <c r="C34" i="68"/>
  <c r="C37" i="68"/>
  <c r="C37" i="11"/>
  <c r="C36" i="11"/>
  <c r="C34" i="11"/>
  <c r="B2" i="76"/>
  <c r="B3" i="76" s="1"/>
  <c r="B3" i="43"/>
  <c r="H27" i="6"/>
  <c r="R19" i="6"/>
  <c r="I6" i="6"/>
  <c r="C24" i="69"/>
  <c r="C39" i="69"/>
  <c r="C42" i="69"/>
  <c r="C20" i="69"/>
  <c r="C20" i="68"/>
  <c r="C25" i="68" s="1"/>
  <c r="C24" i="68"/>
  <c r="C64" i="67"/>
  <c r="C58" i="67" s="1"/>
  <c r="C67" i="67" s="1"/>
  <c r="C68" i="67" s="1"/>
  <c r="Q48" i="67"/>
  <c r="K48" i="35"/>
  <c r="C30" i="67"/>
  <c r="C39" i="67" s="1"/>
  <c r="Q69" i="67" s="1"/>
  <c r="Q68" i="67" s="1"/>
  <c r="J22" i="67"/>
  <c r="J16" i="67" s="1"/>
  <c r="J25" i="67" s="1"/>
  <c r="L51" i="67"/>
  <c r="K65" i="40" l="1"/>
  <c r="L63" i="40"/>
  <c r="O68" i="39"/>
  <c r="O70" i="39" s="1"/>
  <c r="N70" i="39"/>
  <c r="Q49" i="79"/>
  <c r="J19" i="79"/>
  <c r="C57" i="79"/>
  <c r="C61" i="79" s="1"/>
  <c r="C13" i="79"/>
  <c r="C56" i="79" s="1"/>
  <c r="C65" i="79" s="1"/>
  <c r="J14" i="79"/>
  <c r="J13" i="79" s="1"/>
  <c r="J23" i="79" s="1"/>
  <c r="C57" i="78"/>
  <c r="C64" i="78" s="1"/>
  <c r="C23" i="15"/>
  <c r="C29" i="15" s="1"/>
  <c r="J14" i="15" s="1"/>
  <c r="C13" i="78"/>
  <c r="Q70" i="78" s="1"/>
  <c r="J14" i="78"/>
  <c r="J13" i="78" s="1"/>
  <c r="J23" i="78" s="1"/>
  <c r="J19" i="78"/>
  <c r="J17" i="78" s="1"/>
  <c r="Q49" i="78"/>
  <c r="C75" i="78"/>
  <c r="C38" i="11"/>
  <c r="C35" i="11"/>
  <c r="C35" i="68"/>
  <c r="C38" i="68"/>
  <c r="L57" i="78"/>
  <c r="L60" i="78" s="1"/>
  <c r="L46" i="78" s="1"/>
  <c r="C22" i="68"/>
  <c r="R27" i="6"/>
  <c r="R6" i="1"/>
  <c r="C28" i="68"/>
  <c r="C27" i="68" s="1"/>
  <c r="C28" i="69"/>
  <c r="C27" i="69" s="1"/>
  <c r="C25" i="69"/>
  <c r="C22" i="69" s="1"/>
  <c r="C46" i="69"/>
  <c r="C45" i="69" s="1"/>
  <c r="C43" i="69"/>
  <c r="C41" i="69" s="1"/>
  <c r="L48" i="35"/>
  <c r="C40" i="67"/>
  <c r="C45" i="67" s="1"/>
  <c r="C46" i="67" s="1"/>
  <c r="C80" i="67"/>
  <c r="C79" i="67" s="1"/>
  <c r="L57" i="15"/>
  <c r="L60" i="15" s="1"/>
  <c r="L46" i="15" s="1"/>
  <c r="Q67" i="67"/>
  <c r="L57" i="67"/>
  <c r="L60" i="67" s="1"/>
  <c r="C71" i="67"/>
  <c r="F35" i="79"/>
  <c r="M21" i="79"/>
  <c r="M63" i="40" l="1"/>
  <c r="L65" i="40"/>
  <c r="F7" i="39"/>
  <c r="H7" i="39"/>
  <c r="J7" i="39"/>
  <c r="Q70" i="79"/>
  <c r="J22" i="79"/>
  <c r="C37" i="79"/>
  <c r="J19" i="15"/>
  <c r="J17" i="15" s="1"/>
  <c r="C75" i="79"/>
  <c r="C61" i="78"/>
  <c r="C59" i="78" s="1"/>
  <c r="C64" i="79"/>
  <c r="C56" i="78"/>
  <c r="C65" i="78" s="1"/>
  <c r="C37" i="78"/>
  <c r="C30" i="78" s="1"/>
  <c r="C39" i="78" s="1"/>
  <c r="C40" i="78" s="1"/>
  <c r="Q49" i="15"/>
  <c r="J22" i="78"/>
  <c r="J16" i="78" s="1"/>
  <c r="J25" i="78" s="1"/>
  <c r="C36" i="15"/>
  <c r="C33" i="68"/>
  <c r="C42" i="68" s="1"/>
  <c r="C13" i="15"/>
  <c r="C37" i="15" s="1"/>
  <c r="C57" i="15"/>
  <c r="C61" i="15" s="1"/>
  <c r="C59" i="15" s="1"/>
  <c r="C33" i="11"/>
  <c r="J22" i="15"/>
  <c r="J13" i="15"/>
  <c r="J23" i="15" s="1"/>
  <c r="C34" i="79"/>
  <c r="C31" i="79" s="1"/>
  <c r="C30" i="79" s="1"/>
  <c r="C39" i="79" s="1"/>
  <c r="F63" i="79"/>
  <c r="C62" i="79" s="1"/>
  <c r="C59" i="79" s="1"/>
  <c r="J20" i="79"/>
  <c r="J17" i="79" s="1"/>
  <c r="R16" i="1"/>
  <c r="Q66" i="78"/>
  <c r="Q57" i="78"/>
  <c r="C31" i="68"/>
  <c r="C49" i="69"/>
  <c r="C51" i="69" s="1"/>
  <c r="C31" i="69"/>
  <c r="D2" i="67"/>
  <c r="B2" i="67" s="1"/>
  <c r="Q65" i="67"/>
  <c r="C43" i="67"/>
  <c r="M48" i="35"/>
  <c r="C83" i="67"/>
  <c r="C82" i="67" s="1"/>
  <c r="Q47" i="67"/>
  <c r="Q53" i="67" s="1"/>
  <c r="Q56" i="67"/>
  <c r="Q66" i="67"/>
  <c r="Q57" i="67"/>
  <c r="Q57" i="15"/>
  <c r="Q66" i="15"/>
  <c r="L51" i="79"/>
  <c r="C30" i="15" l="1"/>
  <c r="C39" i="15" s="1"/>
  <c r="Q69" i="15" s="1"/>
  <c r="N63" i="40"/>
  <c r="M65" i="40"/>
  <c r="AC7" i="39"/>
  <c r="V47" i="39" s="1"/>
  <c r="I47" i="39" s="1"/>
  <c r="I51" i="39" s="1"/>
  <c r="J51" i="39" s="1"/>
  <c r="W7" i="39"/>
  <c r="AB7" i="39"/>
  <c r="T47" i="39" s="1"/>
  <c r="G47" i="39" s="1"/>
  <c r="U7" i="39"/>
  <c r="S7" i="39"/>
  <c r="AA7" i="39"/>
  <c r="R47" i="39" s="1"/>
  <c r="Q69" i="78"/>
  <c r="Q68" i="78" s="1"/>
  <c r="C80" i="78"/>
  <c r="C79" i="78" s="1"/>
  <c r="C58" i="78"/>
  <c r="C67" i="78" s="1"/>
  <c r="C68" i="78" s="1"/>
  <c r="C71" i="78" s="1"/>
  <c r="C56" i="15"/>
  <c r="C65" i="15" s="1"/>
  <c r="J16" i="79"/>
  <c r="J25" i="79" s="1"/>
  <c r="C58" i="79"/>
  <c r="C67" i="79" s="1"/>
  <c r="C68" i="79" s="1"/>
  <c r="C71" i="79" s="1"/>
  <c r="C39" i="68"/>
  <c r="C43" i="68" s="1"/>
  <c r="C41" i="68" s="1"/>
  <c r="C75" i="15"/>
  <c r="C80" i="15" s="1"/>
  <c r="C79" i="15" s="1"/>
  <c r="Q70" i="15"/>
  <c r="C64" i="15"/>
  <c r="C46" i="68"/>
  <c r="C45" i="68" s="1"/>
  <c r="J16" i="15"/>
  <c r="J25" i="15" s="1"/>
  <c r="Q65" i="78"/>
  <c r="Q75" i="78" s="1"/>
  <c r="C43" i="78"/>
  <c r="Q47" i="78"/>
  <c r="Q53" i="78" s="1"/>
  <c r="Q56" i="78"/>
  <c r="Q62" i="78" s="1"/>
  <c r="C83" i="78"/>
  <c r="C82" i="78" s="1"/>
  <c r="B2" i="78"/>
  <c r="C39" i="11"/>
  <c r="C43" i="11" s="1"/>
  <c r="C42" i="11"/>
  <c r="C46" i="11"/>
  <c r="C45" i="11" s="1"/>
  <c r="Q67" i="79"/>
  <c r="L57" i="79"/>
  <c r="L60" i="79" s="1"/>
  <c r="Q69" i="79"/>
  <c r="Q68" i="79" s="1"/>
  <c r="C40" i="79"/>
  <c r="C80" i="79"/>
  <c r="C79" i="79" s="1"/>
  <c r="C52" i="69"/>
  <c r="B2" i="69" s="1"/>
  <c r="B3" i="69" s="1"/>
  <c r="Q75" i="67"/>
  <c r="B3" i="67"/>
  <c r="Q62" i="67"/>
  <c r="N48" i="35"/>
  <c r="O48" i="35" s="1"/>
  <c r="J7" i="35" s="1"/>
  <c r="L51" i="15"/>
  <c r="AO7" i="1"/>
  <c r="L51" i="78"/>
  <c r="Q67" i="15" l="1"/>
  <c r="C40" i="15"/>
  <c r="Q56" i="15" s="1"/>
  <c r="Q62" i="15" s="1"/>
  <c r="C46" i="78"/>
  <c r="N65" i="40"/>
  <c r="O63" i="40"/>
  <c r="O65" i="40" s="1"/>
  <c r="G51" i="39"/>
  <c r="H51" i="39" s="1"/>
  <c r="G52" i="39"/>
  <c r="H52" i="39" s="1"/>
  <c r="E47" i="39"/>
  <c r="R48" i="39"/>
  <c r="Q67" i="78"/>
  <c r="C58" i="15"/>
  <c r="C67" i="15" s="1"/>
  <c r="C68" i="15" s="1"/>
  <c r="C71" i="15" s="1"/>
  <c r="C49" i="68"/>
  <c r="C51" i="68" s="1"/>
  <c r="C52" i="68" s="1"/>
  <c r="B2" i="68" s="1"/>
  <c r="B3" i="68" s="1"/>
  <c r="C46" i="79"/>
  <c r="Q68" i="15"/>
  <c r="B7" i="70"/>
  <c r="C41" i="11"/>
  <c r="C49" i="11" s="1"/>
  <c r="C51" i="11" s="1"/>
  <c r="D8" i="12"/>
  <c r="B3" i="78"/>
  <c r="D6" i="12" s="1"/>
  <c r="Q47" i="79"/>
  <c r="Q53" i="79" s="1"/>
  <c r="Q65" i="79"/>
  <c r="C43" i="79"/>
  <c r="Q56" i="79"/>
  <c r="C83" i="79"/>
  <c r="C82" i="79" s="1"/>
  <c r="L46" i="79"/>
  <c r="B2" i="79" s="1"/>
  <c r="C8" i="12" s="1"/>
  <c r="Q66" i="79"/>
  <c r="Q57" i="79"/>
  <c r="Q62" i="79" s="1"/>
  <c r="C57" i="69"/>
  <c r="C56" i="69" s="1"/>
  <c r="W7" i="35"/>
  <c r="AC7" i="35"/>
  <c r="V38" i="35" s="1"/>
  <c r="I38" i="35" s="1"/>
  <c r="F7" i="35"/>
  <c r="H7" i="35"/>
  <c r="AO6" i="1"/>
  <c r="C19" i="9"/>
  <c r="C20" i="9"/>
  <c r="C43" i="15" l="1"/>
  <c r="Q47" i="15"/>
  <c r="Q53" i="15" s="1"/>
  <c r="C83" i="15"/>
  <c r="C82" i="15" s="1"/>
  <c r="Q65" i="15"/>
  <c r="Q75" i="15" s="1"/>
  <c r="B2" i="15"/>
  <c r="E8" i="12" s="1"/>
  <c r="C4" i="12" s="1"/>
  <c r="J7" i="40"/>
  <c r="F7" i="40"/>
  <c r="H7" i="40"/>
  <c r="C47" i="39"/>
  <c r="C48" i="39"/>
  <c r="I52" i="39"/>
  <c r="J52" i="39" s="1"/>
  <c r="E52" i="39"/>
  <c r="F52" i="39" s="1"/>
  <c r="E51" i="39"/>
  <c r="F51" i="39" s="1"/>
  <c r="C46" i="15"/>
  <c r="C21" i="9"/>
  <c r="C102" i="9"/>
  <c r="C57" i="68"/>
  <c r="C52" i="11"/>
  <c r="B2" i="11" s="1"/>
  <c r="B3" i="11" s="1"/>
  <c r="C103" i="9"/>
  <c r="B6" i="70"/>
  <c r="B3" i="79"/>
  <c r="C6" i="12" s="1"/>
  <c r="Q75" i="79"/>
  <c r="U7" i="35"/>
  <c r="AB7" i="35"/>
  <c r="T38" i="35" s="1"/>
  <c r="G38" i="35" s="1"/>
  <c r="I42" i="35"/>
  <c r="J42" i="35" s="1"/>
  <c r="AA7" i="35"/>
  <c r="R38" i="35" s="1"/>
  <c r="S7" i="35"/>
  <c r="AO8" i="1"/>
  <c r="D35" i="9"/>
  <c r="B3" i="15" l="1"/>
  <c r="E6" i="12" s="1"/>
  <c r="B8" i="70"/>
  <c r="U7" i="40"/>
  <c r="AB7" i="40"/>
  <c r="T42" i="40" s="1"/>
  <c r="G42" i="40" s="1"/>
  <c r="S7" i="40"/>
  <c r="AA7" i="40"/>
  <c r="R42" i="40" s="1"/>
  <c r="AC7" i="40"/>
  <c r="V42" i="40" s="1"/>
  <c r="I42" i="40" s="1"/>
  <c r="W7"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56" i="68"/>
  <c r="C31" i="12"/>
  <c r="C23" i="12"/>
  <c r="C30" i="12" s="1"/>
  <c r="C28" i="12" s="1"/>
  <c r="B2" i="70"/>
  <c r="B3" i="70" s="1"/>
  <c r="C56" i="11"/>
  <c r="C57" i="11" s="1"/>
  <c r="E38" i="35"/>
  <c r="R39" i="35"/>
  <c r="G42" i="35"/>
  <c r="H42" i="35" s="1"/>
  <c r="G43" i="35"/>
  <c r="H43" i="35" s="1"/>
  <c r="D34" i="9"/>
  <c r="I46" i="40" l="1"/>
  <c r="J46" i="40" s="1"/>
  <c r="E42" i="40"/>
  <c r="R43" i="40"/>
  <c r="G46" i="40"/>
  <c r="H46" i="40" s="1"/>
  <c r="G47" i="40"/>
  <c r="H47" i="40" s="1"/>
  <c r="C27" i="12"/>
  <c r="C25" i="12" s="1"/>
  <c r="C32" i="12" s="1"/>
  <c r="B2" i="12" s="1"/>
  <c r="E43" i="35"/>
  <c r="F43" i="35" s="1"/>
  <c r="E42" i="35"/>
  <c r="F42" i="35" s="1"/>
  <c r="I43" i="35"/>
  <c r="J43" i="35" s="1"/>
  <c r="C39" i="35"/>
  <c r="B2" i="35" s="1"/>
  <c r="B3" i="35" s="1"/>
  <c r="C38" i="35"/>
  <c r="D19" i="9"/>
  <c r="E47" i="40" l="1"/>
  <c r="F47" i="40" s="1"/>
  <c r="E46" i="40"/>
  <c r="F46" i="40" s="1"/>
  <c r="C42" i="40"/>
  <c r="C43" i="40"/>
  <c r="I47" i="40"/>
  <c r="J47" i="40" s="1"/>
  <c r="D102" i="9"/>
  <c r="D21" i="9"/>
  <c r="D22" i="9"/>
  <c r="G19" i="9"/>
  <c r="B3" i="12"/>
  <c r="D20" i="9"/>
  <c r="B60" i="40" l="1"/>
  <c r="F60" i="40" s="1"/>
  <c r="B52" i="40"/>
  <c r="F52" i="40" s="1"/>
  <c r="B53" i="40"/>
  <c r="F53" i="40" s="1"/>
  <c r="B57" i="40"/>
  <c r="F57" i="40" s="1"/>
  <c r="B56" i="40"/>
  <c r="F56" i="40" s="1"/>
  <c r="B54" i="40"/>
  <c r="F54" i="40" s="1"/>
  <c r="B58" i="40"/>
  <c r="F58" i="40" s="1"/>
  <c r="B51" i="40"/>
  <c r="F51" i="40" s="1"/>
  <c r="B55" i="40"/>
  <c r="F55" i="40" s="1"/>
  <c r="B59" i="40"/>
  <c r="F59" i="40" s="1"/>
  <c r="F61" i="40"/>
  <c r="B2" i="40" s="1"/>
  <c r="B3" i="40" s="1"/>
  <c r="D103" i="9"/>
  <c r="G20" i="9"/>
  <c r="C32" i="9"/>
  <c r="G21" i="9"/>
  <c r="H118" i="9" l="1"/>
  <c r="C35" i="9"/>
  <c r="F118" i="9" s="1"/>
  <c r="C34" i="9" l="1"/>
  <c r="D118" i="9" s="1"/>
  <c r="D4" i="52" s="1"/>
  <c r="F4" i="52"/>
  <c r="F119" i="9"/>
  <c r="F5" i="52" s="1"/>
  <c r="G118" i="9"/>
  <c r="G4" i="52" s="1"/>
  <c r="I118" i="9"/>
  <c r="C104" i="9"/>
  <c r="H101" i="9"/>
  <c r="H109" i="9" s="1"/>
  <c r="H4" i="52"/>
  <c r="H119" i="9"/>
  <c r="H5" i="52" s="1"/>
  <c r="D14" i="74"/>
  <c r="B53" i="72" l="1"/>
  <c r="B52" i="72"/>
  <c r="B51" i="72"/>
  <c r="B47" i="72"/>
  <c r="H110" i="9"/>
  <c r="D18" i="53" s="1"/>
  <c r="D16" i="53"/>
  <c r="D124" i="9"/>
  <c r="D119" i="9"/>
  <c r="D5" i="52" s="1"/>
  <c r="E14" i="74"/>
  <c r="F14" i="74"/>
  <c r="M48" i="9"/>
  <c r="D45" i="9"/>
  <c r="D5" i="53"/>
  <c r="H107" i="9"/>
  <c r="E118" i="9"/>
  <c r="E4" i="52" s="1"/>
  <c r="I4" i="52"/>
  <c r="H102" i="9"/>
  <c r="D7" i="53" s="1"/>
  <c r="C105" i="9"/>
  <c r="B48" i="72" l="1"/>
  <c r="B49" i="72"/>
  <c r="B21" i="72"/>
  <c r="B35" i="72"/>
  <c r="H14" i="74"/>
  <c r="D10" i="52"/>
  <c r="D125" i="9"/>
  <c r="D11" i="52" s="1"/>
  <c r="B34" i="72"/>
  <c r="D17" i="53"/>
  <c r="D122" i="9"/>
  <c r="D13" i="53"/>
  <c r="M49" i="9"/>
  <c r="H108" i="9"/>
  <c r="D15" i="53" s="1"/>
  <c r="B31" i="72" s="1"/>
  <c r="C85" i="9"/>
  <c r="C93" i="9"/>
  <c r="C86" i="9" s="1"/>
  <c r="C78" i="9"/>
  <c r="C73" i="9" s="1"/>
  <c r="D52" i="9"/>
  <c r="D55" i="9"/>
  <c r="M53" i="9" s="1"/>
  <c r="C64" i="9"/>
  <c r="C63" i="9" s="1"/>
  <c r="C67" i="9" s="1"/>
  <c r="C68" i="9" s="1"/>
  <c r="D54" i="9" s="1"/>
  <c r="C72" i="9"/>
  <c r="D53" i="9"/>
  <c r="B20" i="72"/>
  <c r="D6" i="53"/>
  <c r="B22" i="72" l="1"/>
  <c r="B36" i="72"/>
  <c r="C79" i="9"/>
  <c r="C80" i="9" s="1"/>
  <c r="E80" i="9" s="1"/>
  <c r="E81" i="9" s="1"/>
  <c r="C95" i="9"/>
  <c r="C96" i="9" s="1"/>
  <c r="E96" i="9" s="1"/>
  <c r="E97" i="9" s="1"/>
  <c r="D14" i="53"/>
  <c r="B32" i="72" s="1"/>
  <c r="B30" i="72"/>
  <c r="L68" i="9"/>
  <c r="M68" i="9" s="1"/>
  <c r="L63" i="9"/>
  <c r="M63" i="9" s="1"/>
  <c r="L64" i="9"/>
  <c r="M64" i="9" s="1"/>
  <c r="L66" i="9"/>
  <c r="M66" i="9" s="1"/>
  <c r="L65" i="9"/>
  <c r="M65" i="9" s="1"/>
  <c r="L67" i="9"/>
  <c r="M67" i="9" s="1"/>
  <c r="G14" i="74"/>
  <c r="B6" i="74" s="1"/>
  <c r="D123" i="9"/>
  <c r="D9" i="52" s="1"/>
  <c r="D8" i="52"/>
  <c r="M69" i="9" l="1"/>
  <c r="N69" i="9" s="1"/>
  <c r="C97" i="9"/>
  <c r="D58" i="9" s="1"/>
  <c r="D56" i="9" s="1"/>
  <c r="M54" i="9" s="1"/>
  <c r="N57" i="9" s="1"/>
  <c r="N59" i="9" s="1"/>
  <c r="N61" i="9" s="1"/>
  <c r="C81" i="9"/>
  <c r="D6" i="74"/>
  <c r="C6" i="74"/>
  <c r="N58" i="9" l="1"/>
  <c r="N60" i="9"/>
  <c r="P57" i="9"/>
  <c r="D15" i="74" l="1"/>
  <c r="E15" i="74" l="1"/>
  <c r="F15" i="74"/>
  <c r="B5" i="74"/>
  <c r="C5" i="74" l="1"/>
  <c r="D5" i="74"/>
  <c r="H15" i="74" l="1"/>
  <c r="B7" i="74" s="1"/>
  <c r="D7" i="74" l="1"/>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<sst xmlns="http://schemas.openxmlformats.org/spreadsheetml/2006/main" count="8273" uniqueCount="3205">
  <si>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</si>
  <si>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</si>
  <si>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</si>
  <si>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</si>
  <si>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</si>
  <si>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</si>
  <si>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</si>
  <si>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</si>
  <si>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</si>
  <si>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</si>
  <si>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</si>
  <si>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</si>
  <si>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</si>
  <si>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</si>
  <si>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</si>
  <si>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</si>
  <si>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</si>
  <si>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</si>
  <si>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</si>
  <si>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</si>
  <si>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</si>
  <si>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</si>
  <si>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</si>
  <si>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</si>
  <si>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</si>
  <si>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</si>
  <si>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</si>
  <si>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</si>
  <si>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</si>
  <si>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</si>
  <si>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</si>
  <si>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</si>
  <si>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</si>
  <si>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</si>
  <si>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</si>
  <si>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</si>
  <si>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</si>
  <si>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</si>
  <si>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</si>
  <si>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</si>
  <si>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</si>
  <si>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</si>
  <si>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</si>
  <si>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</si>
  <si>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</si>
  <si>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</si>
  <si>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</si>
  <si>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</si>
  <si>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</si>
  <si>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</si>
  <si>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</si>
  <si>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</si>
  <si>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</si>
  <si>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</si>
  <si>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</si>
  <si>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</si>
  <si>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</si>
  <si>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</si>
  <si>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</si>
  <si>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</si>
  <si>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</si>
  <si>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</si>
  <si>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</si>
  <si>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</si>
  <si>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</si>
  <si>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</si>
  <si>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</si>
  <si>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</si>
  <si>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</si>
  <si>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</si>
  <si>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</si>
  <si>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</si>
  <si>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</si>
  <si>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</si>
  <si>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</si>
  <si>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</si>
  <si>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</si>
  <si>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</si>
  <si>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</si>
  <si>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</si>
  <si>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</si>
  <si>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</si>
  <si>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</si>
  <si>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</si>
  <si>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</si>
  <si>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</si>
  <si>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</si>
  <si>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</si>
  <si>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</si>
  <si>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</si>
  <si>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</si>
  <si>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</si>
  <si>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</si>
  <si>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</si>
  <si>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</si>
  <si>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</si>
  <si>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</si>
  <si>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</si>
  <si>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</si>
  <si>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</si>
  <si>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</si>
  <si>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</si>
  <si>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</si>
  <si>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</si>
  <si>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</si>
  <si>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</si>
  <si>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</si>
  <si>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</si>
  <si>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</si>
  <si>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</si>
  <si>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</si>
  <si>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</si>
  <si>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</si>
  <si>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</si>
  <si>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</si>
  <si>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</si>
  <si>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</si>
  <si>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</si>
  <si>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</si>
  <si>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</si>
  <si>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</si>
  <si>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</si>
  <si>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</si>
  <si>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</si>
  <si>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</si>
  <si>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</si>
  <si>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</si>
  <si>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</si>
  <si>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</si>
  <si>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</si>
  <si>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</si>
  <si>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</si>
  <si>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</si>
  <si>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</si>
  <si>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</si>
  <si>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</si>
  <si>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</si>
  <si>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</si>
  <si>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</si>
  <si>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</si>
  <si>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</si>
  <si>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</si>
  <si>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</si>
  <si>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</si>
  <si>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</si>
  <si>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</si>
  <si>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</si>
  <si>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</si>
  <si>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</si>
  <si>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</si>
  <si>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</si>
  <si>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</si>
  <si>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</si>
  <si>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</si>
  <si>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</si>
  <si>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</si>
  <si>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</si>
  <si>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</si>
  <si>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</si>
  <si>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</si>
  <si>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</si>
  <si>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</si>
  <si>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</si>
  <si>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</si>
  <si>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</si>
  <si>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</si>
  <si>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</si>
  <si>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</si>
  <si>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</si>
  <si>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</si>
  <si>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</si>
  <si>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</si>
  <si>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</si>
  <si>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</si>
  <si>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</si>
  <si>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</si>
  <si>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</si>
  <si>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</si>
  <si>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</si>
  <si>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</si>
  <si>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</si>
  <si>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</si>
  <si>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</si>
  <si>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</si>
  <si>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</si>
  <si>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</si>
  <si>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</si>
  <si>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</si>
  <si>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</si>
  <si>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</si>
  <si>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</si>
  <si>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</si>
  <si>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</si>
  <si>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</si>
  <si>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</si>
  <si>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</si>
  <si>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</si>
  <si>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</si>
  <si>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</si>
  <si>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</si>
  <si>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</si>
  <si>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</si>
  <si>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</si>
  <si>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</si>
  <si>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</si>
  <si>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</si>
  <si>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</si>
  <si>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</si>
  <si>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</si>
  <si>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</si>
  <si>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</si>
  <si>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</si>
  <si>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</si>
  <si>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</si>
  <si>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</si>
  <si>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</si>
  <si>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</si>
  <si>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</si>
  <si>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</si>
  <si>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</si>
  <si>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</si>
  <si>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</si>
  <si>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</si>
  <si>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</si>
  <si>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</si>
  <si>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</si>
  <si>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</si>
  <si>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</si>
  <si>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</si>
  <si>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</si>
  <si>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</si>
  <si>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</si>
  <si>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</si>
  <si>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</si>
  <si>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</si>
  <si>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</si>
  <si>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</si>
  <si>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</si>
  <si>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</si>
  <si>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</si>
  <si>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</si>
  <si>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</si>
  <si>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</si>
  <si>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</si>
  <si>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</si>
  <si>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</si>
  <si>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</si>
  <si>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</si>
  <si>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</si>
  <si>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</si>
  <si>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</si>
  <si>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</si>
  <si>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</si>
  <si>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</si>
  <si>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</si>
  <si>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</si>
  <si>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</si>
  <si>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</si>
  <si>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</si>
  <si>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</si>
  <si>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</si>
  <si>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</si>
  <si>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</si>
  <si>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</si>
  <si>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</si>
  <si>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</si>
  <si>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</si>
  <si>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</si>
  <si>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</si>
  <si>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</si>
  <si>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</si>
  <si>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</si>
  <si>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</si>
  <si>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</si>
  <si>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</si>
  <si>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</si>
  <si>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</si>
  <si>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</si>
  <si>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</si>
  <si>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</si>
  <si>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</si>
  <si>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</si>
  <si>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</si>
  <si>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</si>
  <si>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</si>
  <si>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</si>
  <si>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</si>
  <si>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</si>
  <si>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</si>
  <si>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</si>
  <si>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</si>
  <si>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</si>
  <si>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</si>
  <si>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</si>
  <si>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</si>
  <si>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</si>
  <si>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</si>
  <si>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</si>
  <si>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</si>
  <si>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</si>
  <si>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</si>
  <si>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</si>
  <si>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</si>
  <si>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</si>
  <si>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</si>
  <si>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</si>
  <si>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</si>
  <si>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</si>
  <si>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</si>
  <si>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</si>
  <si>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</si>
  <si>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</si>
  <si>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</si>
  <si>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</si>
  <si>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</si>
  <si>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</si>
  <si>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</si>
  <si>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</si>
  <si>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</si>
  <si>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</si>
  <si>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</si>
  <si>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</si>
  <si>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</si>
  <si>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</si>
  <si>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</si>
  <si>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</si>
  <si>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</si>
  <si>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</si>
  <si>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</si>
  <si>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</si>
  <si>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</si>
  <si>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</si>
  <si>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</si>
  <si>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</si>
  <si>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</si>
  <si>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</si>
  <si>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</si>
  <si>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</si>
  <si>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</si>
  <si>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</si>
  <si>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</si>
  <si>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</si>
  <si>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</si>
  <si>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</si>
  <si>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</si>
  <si>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</si>
  <si>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</si>
  <si>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</si>
  <si>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</si>
  <si>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</si>
  <si>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</si>
  <si>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</si>
  <si>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</si>
  <si>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</si>
  <si>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</si>
  <si>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</si>
  <si>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</si>
  <si>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</si>
  <si>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</si>
  <si>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</si>
  <si>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</si>
  <si>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</si>
  <si>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</si>
  <si>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</si>
  <si>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</si>
  <si>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</si>
  <si>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</si>
  <si>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</si>
  <si>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</si>
  <si>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</si>
  <si>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</si>
  <si>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</si>
  <si>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</si>
  <si>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</si>
  <si>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</si>
  <si>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</si>
  <si>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</si>
  <si>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</si>
  <si>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</si>
  <si>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</si>
  <si>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</si>
  <si>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</si>
  <si>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</si>
  <si>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</si>
  <si>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</si>
  <si>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</si>
  <si>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</si>
  <si>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</si>
  <si>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</si>
  <si>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</si>
  <si>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</si>
  <si>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</si>
  <si>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</si>
  <si>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</si>
  <si>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</si>
  <si>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</si>
  <si>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</si>
  <si>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</si>
  <si>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</si>
  <si>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</si>
  <si>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</si>
  <si>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</si>
  <si>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</si>
  <si>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</si>
  <si>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</si>
  <si>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</si>
  <si>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</si>
  <si>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</si>
  <si>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</si>
  <si>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</si>
  <si>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</si>
  <si>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</si>
  <si>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</si>
  <si>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</si>
  <si>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</si>
  <si>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</si>
  <si>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</si>
  <si>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</si>
  <si>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</si>
  <si>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</si>
  <si>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</si>
  <si>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</si>
  <si>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</si>
  <si>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</si>
  <si>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</si>
  <si>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</si>
  <si>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</si>
  <si>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</si>
  <si>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</si>
  <si>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</si>
  <si>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</si>
  <si>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</si>
  <si>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</si>
  <si>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</si>
  <si>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</si>
  <si>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</si>
  <si>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</si>
  <si>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</si>
  <si>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</si>
  <si>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</si>
  <si>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</si>
  <si>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</si>
  <si>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</si>
  <si>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</si>
  <si>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</si>
  <si>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</si>
  <si>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</si>
  <si>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</si>
  <si>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</si>
  <si>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</si>
  <si>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</si>
  <si>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</si>
  <si>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</si>
  <si>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</si>
  <si>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</si>
  <si>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</si>
  <si>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</si>
  <si>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</si>
  <si>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</si>
  <si>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</si>
  <si>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</si>
  <si>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</si>
  <si>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</si>
  <si>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</si>
  <si>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</si>
  <si>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</si>
  <si>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</si>
  <si>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</si>
  <si>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</si>
  <si>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</si>
  <si>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</si>
  <si>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</si>
  <si>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</si>
  <si>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</si>
  <si>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</si>
  <si>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</si>
  <si>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</si>
  <si>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</si>
  <si>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</si>
  <si>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</si>
  <si>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</si>
  <si>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</si>
  <si>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</si>
  <si>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</si>
  <si>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</si>
  <si>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</si>
  <si>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</si>
  <si>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</si>
  <si>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</si>
  <si>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</si>
  <si>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</si>
  <si>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</si>
  <si>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</si>
  <si>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</si>
  <si>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</si>
  <si>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</si>
  <si>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</si>
  <si>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</si>
  <si>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</si>
  <si>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</si>
  <si>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</si>
  <si>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</si>
  <si>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</si>
  <si>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</si>
  <si>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</si>
  <si>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</si>
  <si>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</si>
  <si>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</si>
  <si>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</si>
  <si>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</si>
  <si>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</si>
  <si>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</si>
  <si>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</si>
  <si>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</si>
  <si>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</si>
  <si>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</si>
  <si>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</si>
  <si>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</si>
  <si>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</si>
  <si>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</si>
  <si>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</si>
  <si>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</si>
  <si>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</si>
  <si>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</si>
  <si>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</si>
  <si>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</si>
  <si>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</si>
  <si>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</si>
  <si>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</si>
  <si>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</si>
  <si>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</si>
  <si>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</si>
  <si>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</si>
  <si>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</si>
  <si>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</si>
  <si>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</si>
  <si>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</si>
  <si>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</si>
  <si>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</si>
  <si>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</si>
  <si>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</si>
  <si>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</si>
  <si>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</si>
  <si>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</si>
  <si>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</si>
  <si>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</si>
  <si>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</si>
  <si>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</si>
  <si>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</si>
  <si>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</si>
  <si>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</si>
  <si>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</si>
  <si>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</si>
  <si>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</si>
  <si>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</si>
  <si>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</si>
  <si>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</si>
  <si>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</si>
  <si>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</si>
  <si>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</si>
  <si>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</si>
  <si>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</si>
  <si>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</si>
  <si>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</si>
  <si>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</si>
  <si>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</si>
  <si>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</si>
  <si>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</si>
  <si>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</si>
  <si>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</si>
  <si>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</si>
  <si>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</si>
  <si>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</si>
  <si>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</si>
  <si>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</si>
  <si>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</si>
  <si>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</si>
  <si>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</si>
  <si>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</si>
  <si>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</si>
  <si>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</si>
  <si>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</si>
  <si>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</si>
  <si>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</si>
  <si>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</si>
  <si>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</si>
  <si>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</si>
  <si>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</si>
  <si>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</si>
  <si>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</si>
  <si>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</si>
  <si>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</si>
  <si>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</si>
  <si>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</si>
  <si>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</si>
  <si>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</si>
  <si>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</si>
  <si>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</si>
  <si>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</si>
  <si>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</si>
  <si>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</si>
  <si>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</si>
  <si>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</si>
  <si>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</si>
  <si>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</si>
  <si>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</si>
  <si>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</si>
  <si>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</si>
  <si>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</si>
  <si>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</si>
  <si>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</si>
  <si>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</si>
  <si>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</si>
  <si>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</si>
  <si>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</si>
  <si>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</si>
  <si>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</si>
  <si>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</si>
  <si>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</si>
  <si>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</si>
  <si>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</si>
  <si>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</si>
  <si>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</si>
  <si>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</si>
  <si>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</si>
  <si>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</si>
  <si>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</si>
  <si>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</si>
  <si>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</si>
  <si>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</si>
  <si>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</si>
  <si>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</si>
  <si>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</si>
  <si>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</si>
  <si>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</si>
  <si>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</si>
  <si>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</si>
  <si>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</si>
  <si>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</si>
  <si>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</si>
  <si>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</si>
  <si>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</si>
  <si>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</si>
  <si>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</si>
  <si>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</si>
  <si>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</si>
  <si>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</si>
  <si>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</si>
  <si>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</si>
  <si>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</si>
  <si>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</si>
  <si>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</si>
  <si>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</si>
  <si>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</si>
  <si>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</si>
  <si>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</si>
  <si>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</si>
  <si>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</si>
  <si>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</si>
  <si>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</si>
  <si>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</si>
  <si>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</si>
  <si>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</si>
  <si>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</si>
  <si>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</si>
  <si>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</si>
  <si>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</si>
  <si>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</si>
  <si>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</si>
  <si>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</si>
  <si>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</si>
  <si>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</si>
  <si>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</si>
  <si>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</si>
  <si>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</si>
  <si>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</si>
  <si>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</si>
  <si>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</si>
  <si>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</si>
  <si>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</si>
  <si>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</si>
  <si>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</si>
  <si>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</si>
  <si>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</si>
  <si>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</si>
  <si>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</si>
  <si>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</si>
  <si>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</si>
  <si>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</si>
  <si>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</si>
  <si>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</si>
  <si>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</si>
  <si>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</si>
  <si>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</si>
  <si>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</si>
  <si>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</si>
  <si>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</si>
  <si>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</si>
  <si>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</si>
  <si>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</si>
  <si>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</si>
  <si>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</si>
  <si>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</si>
  <si>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</si>
  <si>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</si>
  <si>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</si>
  <si>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</si>
  <si>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</si>
  <si>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</si>
  <si>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</si>
  <si>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</si>
  <si>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</si>
  <si>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</si>
  <si>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</si>
  <si>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</si>
  <si>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</si>
  <si>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</si>
  <si>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</si>
  <si>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</si>
  <si>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</si>
  <si>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</si>
  <si>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</si>
  <si>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</si>
  <si>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</si>
  <si>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</si>
  <si>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</si>
  <si>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</si>
  <si>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</si>
  <si>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</si>
  <si>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</si>
  <si>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</si>
  <si>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</si>
  <si>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</si>
  <si>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</si>
  <si>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</si>
  <si>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</si>
  <si>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</si>
  <si>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</si>
  <si>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</si>
  <si>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</si>
  <si>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</si>
  <si>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</si>
  <si>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</si>
  <si>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</si>
  <si>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</si>
  <si>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</si>
  <si>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</si>
  <si>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</si>
  <si>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</si>
  <si>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</si>
  <si>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</si>
  <si>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</si>
  <si>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</si>
  <si>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</si>
  <si>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</si>
  <si>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</si>
  <si>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</si>
  <si>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</si>
  <si>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</si>
  <si>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</si>
  <si>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</si>
  <si>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</si>
  <si>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</si>
  <si>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</si>
  <si>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</si>
  <si>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</si>
  <si>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</si>
  <si>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</si>
  <si>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</si>
  <si>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</si>
  <si>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</si>
  <si>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</si>
  <si>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</si>
  <si>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</si>
  <si>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</si>
  <si>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</si>
  <si>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</si>
  <si>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</si>
  <si>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</si>
  <si>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</si>
  <si>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</si>
  <si>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</si>
  <si>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</si>
  <si>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</si>
  <si>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</si>
  <si>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</si>
  <si>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</si>
  <si>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</si>
  <si>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</si>
  <si>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</si>
  <si>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</si>
  <si>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</si>
  <si>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</si>
  <si>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</si>
  <si>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</si>
  <si>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</si>
  <si>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</si>
  <si>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</si>
  <si>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</si>
  <si>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</si>
  <si>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</si>
  <si>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</si>
  <si>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</si>
  <si>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</si>
  <si>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</si>
  <si>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</si>
  <si>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</si>
  <si>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</si>
  <si>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</si>
  <si>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</si>
  <si>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</si>
  <si>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</si>
  <si>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</si>
  <si>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</si>
  <si>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</si>
  <si>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</si>
  <si>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</si>
  <si>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</si>
  <si>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</si>
  <si>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</si>
  <si>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</si>
  <si>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</si>
  <si>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</si>
  <si>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</si>
  <si>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</si>
  <si>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</si>
  <si>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</si>
  <si>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</si>
  <si>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</si>
  <si>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</si>
  <si>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</si>
  <si>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</si>
  <si>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</si>
  <si>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</si>
  <si>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</si>
  <si>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</si>
  <si>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</si>
  <si>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</si>
  <si>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</si>
  <si>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</si>
  <si>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</si>
  <si>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</si>
  <si>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</si>
  <si>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</si>
  <si>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</si>
  <si>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</si>
  <si>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</si>
  <si>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</si>
  <si>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</si>
  <si>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</si>
  <si>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</si>
  <si>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</si>
  <si>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</si>
  <si>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</si>
  <si>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</si>
  <si>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</si>
  <si>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</si>
  <si>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</si>
  <si>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</si>
  <si>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</si>
  <si>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</si>
  <si>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</si>
  <si>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</si>
  <si>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</si>
  <si>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</si>
  <si>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</si>
  <si>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</si>
  <si>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</si>
  <si>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</si>
  <si>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</si>
  <si>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</si>
  <si>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</si>
  <si>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</si>
  <si>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</si>
  <si>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</si>
  <si>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</si>
  <si>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</si>
  <si>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</si>
  <si>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</si>
  <si>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</si>
  <si>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</si>
  <si>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</si>
  <si>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</si>
  <si>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</si>
  <si>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</si>
  <si>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</si>
  <si>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</si>
  <si>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</si>
  <si>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</si>
  <si>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</si>
  <si>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</si>
  <si>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</si>
  <si>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</si>
  <si>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</si>
  <si>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</si>
  <si>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</si>
  <si>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</si>
  <si>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</si>
  <si>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</si>
  <si>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</si>
  <si>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</si>
  <si>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</si>
  <si>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</si>
  <si>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</si>
  <si>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</si>
  <si>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</si>
  <si>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</si>
  <si>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</si>
  <si>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</si>
  <si>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</si>
  <si>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</si>
  <si>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</si>
  <si>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</si>
  <si>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</si>
  <si>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</si>
  <si>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</si>
  <si>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</si>
  <si>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</si>
  <si>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</si>
  <si>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</si>
  <si>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</si>
  <si>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</si>
  <si>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</si>
  <si>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</si>
  <si>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</si>
  <si>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</si>
  <si>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</si>
  <si>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</si>
  <si>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</si>
  <si>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</si>
  <si>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</si>
  <si>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</si>
  <si>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</si>
  <si>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</si>
  <si>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</si>
  <si>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</si>
  <si>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</si>
  <si>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</si>
  <si>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</si>
  <si>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</si>
  <si>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</si>
  <si>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</si>
  <si>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</si>
  <si>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</si>
  <si>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</si>
  <si>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</si>
  <si>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</si>
  <si>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</si>
  <si>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</si>
  <si>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</si>
  <si>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</si>
  <si>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</si>
  <si>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</si>
  <si>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</si>
  <si>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</si>
  <si>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</si>
  <si>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</si>
  <si>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</si>
  <si>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</si>
  <si>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</si>
  <si>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</si>
  <si>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</si>
  <si>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</si>
  <si>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</si>
  <si>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</si>
  <si>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</si>
  <si>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</si>
  <si>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</si>
  <si>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</si>
  <si>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</si>
  <si>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</si>
  <si>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</si>
  <si>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</si>
  <si>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</si>
  <si>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</si>
  <si>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</si>
  <si>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</si>
  <si>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</si>
  <si>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</si>
  <si>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</si>
  <si>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</si>
  <si>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</si>
  <si>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</si>
  <si>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</si>
  <si>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</si>
  <si>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</si>
  <si>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</si>
  <si>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</si>
  <si>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</si>
  <si>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</si>
  <si>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</si>
  <si>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</si>
  <si>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</si>
  <si>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</si>
  <si>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</si>
  <si>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</si>
  <si>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</si>
  <si>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</si>
  <si>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</si>
  <si>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</si>
  <si>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</si>
  <si>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</si>
  <si>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</si>
  <si>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</si>
  <si>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</si>
  <si>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</si>
  <si>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</si>
  <si>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</si>
  <si>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</si>
  <si>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</si>
  <si>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</si>
  <si>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</si>
  <si>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</si>
  <si>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</si>
  <si>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</si>
  <si>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</si>
  <si>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</si>
  <si>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</si>
  <si>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</si>
  <si>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</si>
  <si>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</si>
  <si>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</si>
  <si>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</si>
  <si>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</si>
  <si>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</si>
  <si>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</si>
  <si>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</si>
  <si>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</si>
  <si>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</si>
  <si>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</si>
  <si>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</si>
  <si>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</si>
  <si>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</si>
  <si>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</si>
  <si>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</si>
  <si>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</si>
  <si>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</si>
  <si>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</si>
  <si>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</si>
  <si>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</si>
  <si>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</si>
  <si>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</si>
  <si>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</si>
  <si>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</si>
  <si>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</si>
  <si>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</si>
  <si>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</si>
  <si>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</si>
  <si>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</si>
  <si>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</si>
  <si>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</si>
  <si>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</si>
  <si>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</si>
  <si>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</si>
  <si>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</si>
  <si>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</si>
  <si>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</si>
  <si>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</si>
  <si>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</si>
  <si>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</si>
  <si>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</si>
  <si>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</si>
  <si>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</si>
  <si>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</si>
  <si>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</si>
  <si>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</si>
  <si>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</si>
  <si>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</si>
  <si>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</si>
  <si>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</si>
  <si>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</si>
  <si>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</si>
  <si>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</si>
  <si>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</si>
  <si>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</si>
  <si>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</si>
  <si>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</si>
  <si>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</si>
  <si>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</si>
  <si>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</si>
  <si>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</si>
  <si>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</si>
  <si>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</si>
  <si>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</si>
  <si>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</si>
  <si>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</si>
  <si>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</si>
  <si>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</si>
  <si>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</si>
  <si>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</si>
  <si>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</si>
  <si>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</si>
  <si>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</si>
  <si>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</si>
  <si>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</si>
  <si>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</si>
  <si>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</si>
  <si>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</si>
  <si>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</si>
  <si>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</si>
  <si>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</si>
  <si>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</si>
  <si>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</si>
  <si>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</si>
  <si>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</si>
  <si>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</si>
  <si>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</si>
  <si>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</si>
  <si>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</si>
  <si>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</si>
  <si>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</si>
  <si>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</si>
  <si>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</si>
  <si>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</si>
  <si>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</si>
  <si>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</si>
  <si>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</si>
  <si>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</si>
  <si>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</si>
  <si>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</si>
  <si>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</si>
  <si>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</si>
  <si>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</si>
  <si>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</si>
  <si>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</si>
  <si>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</si>
  <si>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</si>
  <si>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</si>
  <si>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</si>
  <si>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</si>
  <si>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</si>
  <si>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</si>
  <si>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</si>
  <si>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</si>
  <si>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</si>
  <si>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</si>
  <si>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</si>
  <si>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</si>
  <si>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</si>
  <si>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</si>
  <si>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</si>
  <si>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</si>
  <si>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</si>
  <si>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</si>
  <si>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</si>
  <si>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</si>
  <si>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</si>
  <si>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</si>
  <si>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</si>
  <si>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</si>
  <si>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</si>
  <si>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</si>
  <si>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</si>
  <si>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</si>
  <si>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</si>
  <si>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</si>
  <si>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</si>
  <si>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</si>
  <si>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</si>
  <si>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</si>
  <si>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</si>
  <si>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</si>
  <si>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</si>
  <si>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</si>
  <si>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</si>
  <si>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</si>
  <si>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</si>
  <si>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</si>
  <si>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</si>
  <si>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</si>
  <si>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</si>
  <si>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</si>
  <si>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</si>
  <si>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</si>
  <si>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</si>
  <si>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</si>
  <si>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</si>
  <si>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</si>
  <si>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</si>
  <si>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</si>
  <si>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</si>
  <si>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</si>
  <si>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</si>
  <si>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</si>
  <si>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</si>
  <si>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</si>
  <si>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</si>
  <si>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</si>
  <si>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</si>
  <si>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</si>
  <si>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</si>
  <si>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</si>
  <si>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</si>
  <si>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</si>
  <si>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</si>
  <si>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</si>
  <si>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</si>
  <si>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</si>
  <si>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</si>
  <si>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</si>
  <si>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</si>
  <si>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</si>
  <si>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</si>
  <si>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</si>
  <si>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</si>
  <si>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</si>
  <si>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</si>
  <si>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</si>
  <si>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</si>
  <si>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</si>
  <si>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</si>
  <si>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</si>
  <si>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</si>
  <si>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</si>
  <si>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</si>
  <si>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</si>
  <si>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</si>
  <si>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</si>
  <si>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</si>
  <si>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</si>
  <si>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</si>
  <si>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</si>
  <si>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</si>
  <si>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</si>
  <si>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</si>
  <si>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</si>
  <si>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</si>
  <si>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</si>
  <si>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</si>
  <si>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</si>
  <si>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</si>
  <si>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</si>
  <si>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</si>
  <si>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</si>
  <si>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</si>
  <si>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</si>
  <si>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</si>
  <si>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</si>
  <si>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</si>
  <si>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</si>
  <si>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</si>
  <si>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</si>
  <si>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</si>
  <si>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</si>
  <si>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</si>
  <si>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</si>
  <si>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</si>
  <si>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</si>
  <si>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</si>
  <si>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</si>
  <si>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</si>
  <si>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</si>
  <si>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</si>
  <si>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</si>
  <si>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</si>
  <si>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</si>
  <si>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</si>
  <si>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</si>
  <si>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</si>
  <si>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</si>
  <si>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</si>
  <si>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</si>
  <si>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</si>
  <si>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</si>
  <si>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</si>
  <si>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</si>
  <si>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</si>
  <si>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</si>
  <si>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</si>
  <si>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</si>
  <si>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</si>
  <si>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</si>
  <si>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</si>
  <si>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</si>
  <si>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</si>
  <si>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</si>
  <si>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</si>
  <si>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</si>
  <si>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</si>
  <si>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</si>
  <si>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</si>
  <si>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</si>
  <si>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</si>
  <si>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</si>
  <si>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</si>
  <si>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</si>
  <si>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</si>
  <si>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</si>
  <si>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</si>
  <si>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</si>
  <si>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</si>
  <si>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</si>
  <si>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</si>
  <si>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</si>
  <si>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</si>
  <si>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</si>
  <si>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</si>
  <si>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</si>
  <si>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</si>
  <si>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</si>
  <si>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</si>
  <si>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</si>
  <si>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</si>
  <si>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</si>
  <si>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</si>
  <si>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</si>
  <si>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</si>
  <si>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</si>
  <si>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</si>
  <si>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</si>
  <si>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</si>
  <si>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</si>
  <si>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</si>
  <si>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</si>
  <si>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</si>
  <si>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</si>
  <si>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</si>
  <si>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</si>
  <si>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</si>
  <si>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</si>
  <si>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</si>
  <si>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</si>
  <si>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</si>
  <si>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</si>
  <si>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</si>
  <si>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</si>
  <si>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</si>
  <si>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</si>
  <si>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</si>
  <si>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</si>
  <si>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</si>
  <si>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</si>
  <si>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</si>
  <si>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</si>
  <si>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</si>
  <si>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</si>
  <si>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</si>
  <si>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</si>
  <si>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</si>
  <si>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</si>
  <si>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</si>
  <si>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</si>
  <si>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</si>
  <si>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</si>
  <si>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</si>
  <si>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</si>
  <si>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</si>
  <si>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</si>
  <si>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</si>
  <si>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</si>
  <si>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</si>
  <si>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</si>
  <si>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</si>
  <si>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</si>
  <si>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</si>
  <si>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</si>
  <si>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</si>
  <si>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</si>
  <si>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</si>
  <si>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</si>
  <si>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</si>
  <si>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</si>
  <si>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</si>
  <si>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</si>
  <si>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</si>
  <si>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</si>
  <si>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</si>
  <si>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</si>
  <si>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</si>
  <si>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</si>
  <si>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</si>
  <si>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</si>
  <si>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</si>
  <si>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</si>
  <si>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</si>
  <si>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</si>
  <si>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</si>
  <si>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</si>
  <si>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</si>
  <si>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</si>
  <si>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</si>
  <si>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</si>
  <si>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</si>
  <si>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</si>
  <si>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</si>
  <si>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</si>
  <si>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</si>
  <si>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</si>
  <si>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</si>
  <si>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</si>
  <si>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</si>
  <si>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</si>
  <si>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</si>
  <si>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</si>
  <si>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</si>
  <si>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</si>
  <si>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</si>
  <si>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</si>
  <si>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</si>
  <si>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</si>
  <si>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</si>
  <si>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</si>
  <si>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</si>
  <si>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</si>
  <si>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</si>
  <si>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</si>
  <si>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</si>
  <si>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</si>
  <si>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</si>
  <si>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</si>
  <si>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</si>
  <si>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</si>
  <si>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</si>
  <si>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</si>
  <si>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</si>
  <si>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</si>
  <si>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</si>
  <si>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</si>
  <si>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</si>
  <si>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</si>
  <si>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</si>
  <si>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</si>
  <si>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</si>
  <si>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</si>
  <si>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</si>
  <si>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</si>
  <si>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</si>
  <si>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</si>
  <si>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</si>
  <si>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</si>
  <si>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</si>
  <si>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</si>
  <si>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</si>
  <si>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</si>
  <si>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</si>
  <si>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</si>
  <si>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</si>
  <si>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</si>
  <si>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</si>
  <si>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</si>
  <si>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</si>
  <si>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</si>
  <si>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</si>
  <si>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</si>
  <si>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</si>
  <si>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</si>
  <si>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</si>
  <si>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</si>
  <si>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</si>
  <si>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</si>
  <si>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</si>
  <si>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</si>
  <si>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</si>
  <si>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</si>
  <si>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</si>
  <si>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</si>
  <si>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</si>
  <si>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</si>
  <si>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</si>
  <si>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</si>
  <si>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</si>
  <si>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</si>
  <si>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</si>
  <si>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</si>
  <si>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</si>
  <si>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</si>
  <si>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</si>
  <si>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</si>
  <si>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</si>
  <si>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</si>
  <si>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</si>
  <si>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</si>
  <si>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</si>
  <si>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</si>
  <si>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</si>
  <si>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</si>
  <si>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</si>
  <si>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</si>
  <si>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</si>
  <si>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</si>
  <si>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</si>
  <si>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</si>
  <si>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</si>
  <si>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</si>
  <si>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</si>
  <si>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</si>
  <si>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</si>
  <si>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</si>
  <si>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</si>
  <si>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</si>
  <si>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</si>
  <si>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</si>
  <si>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</si>
  <si>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</si>
  <si>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</si>
  <si>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</si>
  <si>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</si>
  <si>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</si>
  <si>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</si>
  <si>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</si>
  <si>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</si>
  <si>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</si>
  <si>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</si>
  <si>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</si>
  <si>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</si>
  <si>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</si>
  <si>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</si>
  <si>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</si>
  <si>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</si>
  <si>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</si>
  <si>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</si>
  <si>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</si>
  <si>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</si>
  <si>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</si>
  <si>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</si>
  <si>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</si>
  <si>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</si>
  <si>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</si>
  <si>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</si>
  <si>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</si>
  <si>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</si>
  <si>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</si>
  <si>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</si>
  <si>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</si>
  <si>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</si>
  <si>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</si>
  <si>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</si>
  <si>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</si>
  <si>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</si>
  <si>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</si>
  <si>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</si>
  <si>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</si>
  <si>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</si>
  <si>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</si>
  <si>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</si>
  <si>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</si>
  <si>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</si>
  <si>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</si>
  <si>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</si>
  <si>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</si>
  <si>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</si>
  <si>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</si>
  <si>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</si>
  <si>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</si>
  <si>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</si>
  <si>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</si>
  <si>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</si>
  <si>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</si>
  <si>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</si>
  <si>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</si>
  <si>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</si>
  <si>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</si>
  <si>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</si>
  <si>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</si>
  <si>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</si>
  <si>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</si>
  <si>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</si>
  <si>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</si>
  <si>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</si>
  <si>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</si>
  <si>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</si>
  <si>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</si>
  <si>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</si>
  <si>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</si>
  <si>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</si>
  <si>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</si>
  <si>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</si>
  <si>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</si>
  <si>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</si>
  <si>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</si>
  <si>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</si>
  <si>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</si>
  <si>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</si>
  <si>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</si>
  <si>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</si>
  <si>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</si>
  <si>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</si>
  <si>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</si>
  <si>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</si>
  <si>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</si>
  <si>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</si>
  <si>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</si>
  <si>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</si>
  <si>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</si>
  <si>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</si>
  <si>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</si>
  <si>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</si>
  <si>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</si>
  <si>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</si>
  <si>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</si>
  <si>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</si>
  <si>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</si>
  <si>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</si>
  <si>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</si>
  <si>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</si>
  <si>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</si>
  <si>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</si>
  <si>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</si>
  <si>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</si>
  <si>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</si>
  <si>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</si>
  <si>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</si>
  <si>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</si>
  <si>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</si>
  <si>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</si>
  <si>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</si>
  <si>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</si>
  <si>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</si>
  <si>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</si>
  <si>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</si>
  <si>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</si>
  <si>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</si>
  <si>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</si>
  <si>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</si>
  <si>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</si>
  <si>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</si>
  <si>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</si>
  <si>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</si>
  <si>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</si>
  <si>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</si>
  <si>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</si>
  <si>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</si>
  <si>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</si>
  <si>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</si>
  <si>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</si>
  <si>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</si>
  <si>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</si>
  <si>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</si>
  <si>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</si>
  <si>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</si>
  <si>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</si>
  <si>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</si>
  <si>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</si>
  <si>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</si>
  <si>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</si>
  <si>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</si>
  <si>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</si>
  <si>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</si>
  <si>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</si>
  <si>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</si>
  <si>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</si>
  <si>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</si>
  <si>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</si>
  <si>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</si>
  <si>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</si>
  <si>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</si>
  <si>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</si>
  <si>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</si>
  <si>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</si>
  <si>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</si>
  <si>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</si>
  <si>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</si>
  <si>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</si>
  <si>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</si>
  <si>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</si>
  <si>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</si>
  <si>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</si>
  <si>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</si>
  <si>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</si>
  <si>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</si>
  <si>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</si>
  <si>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</si>
  <si>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</si>
  <si>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</si>
  <si>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</si>
  <si>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</si>
  <si>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</si>
  <si>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</si>
  <si>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</si>
  <si>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</si>
  <si>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</si>
  <si>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</si>
  <si>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</si>
  <si>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</si>
  <si>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</si>
  <si>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</si>
  <si>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</si>
  <si>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</si>
  <si>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</si>
  <si>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</si>
  <si>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</si>
  <si>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</si>
  <si>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</si>
  <si>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</si>
  <si>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</si>
  <si>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</si>
  <si>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</si>
  <si>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</si>
  <si>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</si>
  <si>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</si>
  <si>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</si>
  <si>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</si>
  <si>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</si>
  <si>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</si>
  <si>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</si>
  <si>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</si>
  <si>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</si>
  <si>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</si>
  <si>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</si>
  <si>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</si>
  <si>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</si>
  <si>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</si>
  <si>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</si>
  <si>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</si>
  <si>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</si>
  <si>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</si>
  <si>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</si>
  <si>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</si>
  <si>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</si>
  <si>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</si>
  <si>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</si>
  <si>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</si>
  <si>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</si>
  <si>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</si>
  <si>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</si>
  <si>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</si>
  <si>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</si>
  <si>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</si>
  <si>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</si>
  <si>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</si>
  <si>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</si>
  <si>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</si>
  <si>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</si>
  <si>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</si>
  <si>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</si>
  <si>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</si>
  <si>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</si>
  <si>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</si>
  <si>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</si>
  <si>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</si>
  <si>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</si>
  <si>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</si>
  <si>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</si>
  <si>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</si>
  <si>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</si>
  <si>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</si>
  <si>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</si>
  <si>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</si>
  <si>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</si>
  <si>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</si>
  <si>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</si>
  <si>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</si>
  <si>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</si>
  <si>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</si>
  <si>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</si>
  <si>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</si>
  <si>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</si>
  <si>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</si>
  <si>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</si>
  <si>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</si>
  <si>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</si>
  <si>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</si>
  <si>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</si>
  <si>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</si>
  <si>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</si>
  <si>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</si>
  <si>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</si>
  <si>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</si>
  <si>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</si>
  <si>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</si>
  <si>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</si>
  <si>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</si>
  <si>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</si>
  <si>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</si>
  <si>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</si>
  <si>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</si>
  <si>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</si>
  <si>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</si>
  <si>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</si>
  <si>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</si>
  <si>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</si>
  <si>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</si>
  <si>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</si>
  <si>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</si>
  <si>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</si>
  <si>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</si>
  <si>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</si>
  <si>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</si>
  <si>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</si>
  <si>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</si>
  <si>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</si>
  <si>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</si>
  <si>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</si>
  <si>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</si>
  <si>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</si>
  <si>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</si>
  <si>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</si>
  <si>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</si>
  <si>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</si>
  <si>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</si>
  <si>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</si>
  <si>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</si>
  <si>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</si>
  <si>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</si>
  <si>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</si>
  <si>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</si>
  <si>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</si>
  <si>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</si>
  <si>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</si>
  <si>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</si>
  <si>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</si>
  <si>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</si>
  <si>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</si>
  <si>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</si>
  <si>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</si>
  <si>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</si>
  <si>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</si>
  <si>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</si>
  <si>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</si>
  <si>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</si>
  <si>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</si>
  <si>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</si>
  <si>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</si>
  <si>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</si>
  <si>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</si>
  <si>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</si>
  <si>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</si>
  <si>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</si>
  <si>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</si>
  <si>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</si>
  <si>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</si>
  <si>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</si>
  <si>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</si>
  <si>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</si>
  <si>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</si>
  <si>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</si>
  <si>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</si>
  <si>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</si>
  <si>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</si>
  <si>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</si>
  <si>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</si>
  <si>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</si>
  <si>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</si>
  <si>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</si>
  <si>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</si>
  <si>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</si>
  <si>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</si>
  <si>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</si>
  <si>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</si>
  <si>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</si>
  <si>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</si>
  <si>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</si>
  <si>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</si>
  <si>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</si>
  <si>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</si>
  <si>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</si>
  <si>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</si>
  <si>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</si>
  <si>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</si>
  <si>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</si>
  <si>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</si>
  <si>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</si>
  <si>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</si>
  <si>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</si>
  <si>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</si>
  <si>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</si>
  <si>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</si>
  <si>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</si>
  <si>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</si>
  <si>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</si>
  <si>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</si>
  <si>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</si>
  <si>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</si>
  <si>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</si>
  <si>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</si>
  <si>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</si>
  <si>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</si>
  <si>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</si>
  <si>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</si>
  <si>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</si>
  <si>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</si>
  <si>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</si>
  <si>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</si>
  <si>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</si>
  <si>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</si>
  <si>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</si>
  <si>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</si>
  <si>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</si>
  <si>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</si>
  <si>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</si>
  <si>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</si>
  <si>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</si>
  <si>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</si>
  <si>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</si>
  <si>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</si>
  <si>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</si>
  <si>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</si>
  <si>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</si>
  <si>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</si>
  <si>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</si>
  <si>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</si>
  <si>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</si>
  <si>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</si>
  <si>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</si>
  <si>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</si>
  <si>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</si>
  <si>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</si>
  <si>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</si>
  <si>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</si>
  <si>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</si>
  <si>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</si>
  <si>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</si>
  <si>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</si>
  <si>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</si>
  <si>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</si>
  <si>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</si>
  <si>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</si>
  <si>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</si>
  <si>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</si>
  <si>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</si>
  <si>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</si>
  <si>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</si>
  <si>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</si>
  <si>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</si>
  <si>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</si>
  <si>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</si>
  <si>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</si>
  <si>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</si>
  <si>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</si>
  <si>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</si>
  <si>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</si>
  <si>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</si>
  <si>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</si>
  <si>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</si>
  <si>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</si>
  <si>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</si>
  <si>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</si>
  <si>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</si>
  <si>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</si>
  <si>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</si>
  <si>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</si>
  <si>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</si>
  <si>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</si>
  <si>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</si>
  <si>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</si>
  <si>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</si>
  <si>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</si>
  <si>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</si>
  <si>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</si>
  <si>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</si>
  <si>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</si>
  <si>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</si>
  <si>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</si>
  <si>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</si>
  <si>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</si>
  <si>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</si>
  <si>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</si>
  <si>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</si>
  <si>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</si>
  <si>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</si>
  <si>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</si>
  <si>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</si>
  <si>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</si>
  <si>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</si>
  <si>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</si>
  <si>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</si>
  <si>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</si>
  <si>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</si>
  <si>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</si>
  <si>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</si>
  <si>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</si>
  <si>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</si>
  <si>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</si>
  <si>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</si>
  <si>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</si>
  <si>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</si>
  <si>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</si>
  <si>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</si>
  <si>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</si>
  <si>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</si>
  <si>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</si>
  <si>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</si>
  <si>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</si>
  <si>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</si>
  <si>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</si>
  <si>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</si>
  <si>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</si>
  <si>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</si>
  <si>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</si>
  <si>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</si>
  <si>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</si>
  <si>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</si>
  <si>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</si>
  <si>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</si>
  <si>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</si>
  <si>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</si>
  <si>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</si>
  <si>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</si>
  <si>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</si>
  <si>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</si>
  <si>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</si>
  <si>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</si>
  <si>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</si>
  <si>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</si>
  <si>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</si>
  <si>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</si>
  <si>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</si>
  <si>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</si>
  <si>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</si>
  <si>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</si>
  <si>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</si>
  <si>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</si>
  <si>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</si>
  <si>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</si>
  <si>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</si>
  <si>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</si>
  <si>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</si>
  <si>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</si>
  <si>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</si>
  <si>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</si>
  <si>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</si>
  <si>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</si>
  <si>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</si>
  <si>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</si>
  <si>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</si>
  <si>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</si>
  <si>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</si>
  <si>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</si>
  <si>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</si>
  <si>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</si>
  <si>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</si>
  <si>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</si>
  <si>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</si>
  <si>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</si>
  <si>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</si>
  <si>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</si>
  <si>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</si>
  <si>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</si>
  <si>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</si>
  <si>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</si>
  <si>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</si>
  <si>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</si>
  <si>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</si>
  <si>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</si>
  <si>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</si>
  <si>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</si>
  <si>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</si>
  <si>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</si>
  <si>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</si>
  <si>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</si>
  <si>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</si>
  <si>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</si>
  <si>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</si>
  <si>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</si>
  <si>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</si>
  <si>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</si>
  <si>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</si>
  <si>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</si>
  <si>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</si>
  <si>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</si>
  <si>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</si>
  <si>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</si>
  <si>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</si>
  <si>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</si>
  <si>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</si>
  <si>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</si>
  <si>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</si>
  <si>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</si>
  <si>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</si>
  <si>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</si>
  <si>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</si>
  <si>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</si>
  <si>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</si>
  <si>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</si>
  <si>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</si>
  <si>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</si>
  <si>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</si>
  <si>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</si>
  <si>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</si>
  <si>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</si>
  <si>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</si>
  <si>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</si>
  <si>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</si>
  <si>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</si>
  <si>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</si>
  <si>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</si>
  <si>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</si>
  <si>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</si>
  <si>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</si>
  <si>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</si>
  <si>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</si>
  <si>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</si>
  <si>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</si>
  <si>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</si>
  <si>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</si>
  <si>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</si>
  <si>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</si>
  <si>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</si>
  <si>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</si>
  <si>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</si>
  <si>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</si>
  <si>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</si>
  <si>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</si>
  <si>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</si>
  <si>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</si>
  <si>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</si>
  <si>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</si>
  <si>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</si>
  <si>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</si>
  <si>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</si>
  <si>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</si>
  <si>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</si>
  <si>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</si>
  <si>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</si>
  <si>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</si>
  <si>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</si>
  <si>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</si>
  <si>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</si>
  <si>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</si>
  <si>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</si>
  <si>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</si>
  <si>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</si>
  <si>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</si>
  <si>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</si>
  <si>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</si>
  <si>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</si>
  <si>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</si>
  <si>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</si>
  <si>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</si>
  <si>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</si>
  <si>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</si>
  <si>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</si>
  <si>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</si>
  <si>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</si>
  <si>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</si>
  <si>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</si>
  <si>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</si>
  <si>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</si>
  <si>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</si>
  <si>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</si>
  <si>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</si>
  <si>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</si>
  <si>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</si>
  <si>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</si>
  <si>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</si>
  <si>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</si>
  <si>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</si>
  <si>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</si>
  <si>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</si>
  <si>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</si>
  <si>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</si>
  <si>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</si>
  <si>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</si>
  <si>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</si>
  <si>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</si>
  <si>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</si>
  <si>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</si>
  <si>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</si>
  <si>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</si>
  <si>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</si>
  <si>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</si>
  <si>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</si>
  <si>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</si>
  <si>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</si>
  <si>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</si>
  <si>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</si>
  <si>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</si>
  <si>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</si>
  <si>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</si>
  <si>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</si>
  <si>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</si>
  <si>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</si>
  <si>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</si>
  <si>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</si>
  <si>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</si>
  <si>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</si>
  <si>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</si>
  <si>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</si>
  <si>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</si>
  <si>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</si>
  <si>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</si>
  <si>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</si>
  <si>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</si>
  <si>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</si>
  <si>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</si>
  <si>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</si>
  <si>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</si>
  <si>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</si>
  <si>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</si>
  <si>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</si>
  <si>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</si>
  <si>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</si>
  <si>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</si>
  <si>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</si>
  <si>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</si>
  <si>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</si>
  <si>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</si>
  <si>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</si>
  <si>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</si>
  <si>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</si>
  <si>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</si>
  <si>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</si>
  <si>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</si>
  <si>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</si>
  <si>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</si>
  <si>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</si>
  <si>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</si>
  <si>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</si>
  <si>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</si>
  <si>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</si>
  <si>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</si>
  <si>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</si>
  <si>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</si>
  <si>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</si>
  <si>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</si>
  <si>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</si>
  <si>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</si>
  <si>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</si>
  <si>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</si>
  <si>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</si>
  <si>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</si>
  <si>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</si>
  <si>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</si>
  <si>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</si>
  <si>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</si>
  <si>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</si>
  <si>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</si>
  <si>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</si>
  <si>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</si>
  <si>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</si>
  <si>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</si>
  <si>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</si>
  <si>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</si>
  <si>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</si>
  <si>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</si>
  <si>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</si>
  <si>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</si>
  <si>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</si>
  <si>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</si>
  <si>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</si>
  <si>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</si>
  <si>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</si>
  <si>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</si>
  <si>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</si>
  <si>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</si>
  <si>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</si>
  <si>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</si>
  <si>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</si>
  <si>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</si>
  <si>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</si>
  <si>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</si>
  <si>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</si>
  <si>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</si>
  <si>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</si>
  <si>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</si>
  <si>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</si>
  <si>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</si>
  <si>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</si>
  <si>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</si>
  <si>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</si>
  <si>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</si>
  <si>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</si>
  <si>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</si>
  <si>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</si>
  <si>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</si>
  <si>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</si>
  <si>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</si>
  <si>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</si>
  <si>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</si>
  <si>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</si>
  <si>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</si>
  <si>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</si>
  <si>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</si>
  <si>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</si>
  <si>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</si>
  <si>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</si>
  <si>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</si>
  <si>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</si>
  <si>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</si>
  <si>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</si>
  <si>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</si>
  <si>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</si>
  <si>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</si>
  <si>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</si>
  <si>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</si>
  <si>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</si>
  <si>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</si>
  <si>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</si>
  <si>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</si>
  <si>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</si>
  <si>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</si>
  <si>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</si>
  <si>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</si>
  <si>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</si>
  <si>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</si>
  <si>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</si>
  <si>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</si>
  <si>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</si>
  <si>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</si>
  <si>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</si>
  <si>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</si>
  <si>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</si>
  <si>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</si>
  <si>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</si>
  <si>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</si>
  <si>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</si>
  <si>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</si>
  <si>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</si>
  <si>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</si>
  <si>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</si>
  <si>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</si>
  <si>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</si>
  <si>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</si>
  <si>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</si>
  <si>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</si>
  <si>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</si>
  <si>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</si>
  <si>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</si>
  <si>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</si>
  <si>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</si>
  <si>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</si>
  <si>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</si>
  <si>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</si>
  <si>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</si>
  <si>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</si>
  <si>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</si>
  <si>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</si>
  <si>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</si>
  <si>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</si>
  <si>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</si>
  <si>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</si>
  <si>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</si>
  <si>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</si>
  <si>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</si>
  <si>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</si>
  <si>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</si>
  <si>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</si>
  <si>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</si>
  <si>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</si>
  <si>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</si>
  <si>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</si>
  <si>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</si>
  <si>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</si>
  <si>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</si>
  <si>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</si>
  <si>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</si>
  <si>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</si>
  <si>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</si>
  <si>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</si>
  <si>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</si>
  <si>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</si>
  <si>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</si>
  <si>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</si>
  <si>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</si>
  <si>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</si>
  <si>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</si>
  <si>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</si>
  <si>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</si>
  <si>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</si>
  <si>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</si>
  <si>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</si>
  <si>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</si>
  <si>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</si>
  <si>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</si>
  <si>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</si>
  <si>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</si>
  <si>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</si>
  <si>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</si>
  <si>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</si>
  <si>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</si>
  <si>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</si>
  <si>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</si>
  <si>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</si>
  <si>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</si>
  <si>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</si>
  <si>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</si>
  <si>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</si>
  <si>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</si>
  <si>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</si>
  <si>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</si>
  <si>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</si>
  <si>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</si>
  <si>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</si>
  <si>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</si>
  <si>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</si>
  <si>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</si>
  <si>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</si>
  <si>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</si>
  <si>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</si>
  <si>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</si>
  <si>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</si>
  <si>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</si>
  <si>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</si>
  <si>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</si>
  <si>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</si>
  <si>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</si>
  <si>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</si>
  <si>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</si>
  <si>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</si>
  <si>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</si>
  <si>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</si>
  <si>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</si>
  <si>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</si>
  <si>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</si>
  <si>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</si>
  <si>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</si>
  <si>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</si>
  <si>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</si>
  <si>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</si>
  <si>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</si>
  <si>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</si>
  <si>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</si>
  <si>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</si>
  <si>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</si>
  <si>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</si>
  <si>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</si>
  <si>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</si>
  <si>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</si>
  <si>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</si>
  <si>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</si>
  <si>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</si>
  <si>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</si>
  <si>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</si>
  <si>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</si>
  <si>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</si>
  <si>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</si>
  <si>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</si>
  <si>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</si>
  <si>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</si>
  <si>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</si>
  <si>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</si>
  <si>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</si>
  <si>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</si>
  <si>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</si>
  <si>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</si>
  <si>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</si>
  <si>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</si>
  <si>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</si>
  <si>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</si>
  <si>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</si>
  <si>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</si>
  <si>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</si>
  <si>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</si>
  <si>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</si>
  <si>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</si>
  <si>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</si>
  <si>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</si>
  <si>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</si>
  <si>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</si>
  <si>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</si>
  <si>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</si>
  <si>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</si>
  <si>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</si>
  <si>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</si>
  <si>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</si>
  <si>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</si>
  <si>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</si>
  <si>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</si>
  <si>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</si>
  <si>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</si>
  <si>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</si>
  <si>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</si>
  <si>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</si>
  <si>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</si>
  <si>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</si>
  <si>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</si>
  <si>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</si>
  <si>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</si>
  <si>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</si>
  <si>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</si>
  <si>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</si>
  <si>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</si>
  <si>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</si>
  <si>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</si>
  <si>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</si>
  <si>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</si>
  <si>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</si>
  <si>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</si>
  <si>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</si>
  <si>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</si>
  <si>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</si>
  <si>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</si>
  <si>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</si>
  <si>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</si>
  <si>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</si>
  <si>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</si>
  <si>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</si>
  <si>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</si>
  <si>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</si>
  <si>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</si>
  <si>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</si>
  <si>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</si>
  <si>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</si>
  <si>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</si>
  <si>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</si>
  <si>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</si>
  <si>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</si>
  <si>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</si>
  <si>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</si>
  <si>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</si>
  <si>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</si>
  <si>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</si>
  <si>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</si>
  <si>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</si>
  <si>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</si>
  <si>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</si>
  <si>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</si>
  <si>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</si>
  <si>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</si>
  <si>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</si>
  <si>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</si>
  <si>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</si>
  <si>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</si>
  <si>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</si>
  <si>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</si>
  <si>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</si>
  <si>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</si>
  <si>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</si>
  <si>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</si>
  <si>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</si>
  <si>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</si>
  <si>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</si>
  <si>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</si>
  <si>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</si>
  <si>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</si>
  <si>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</si>
  <si>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</si>
  <si>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</si>
  <si>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</si>
  <si>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</si>
  <si>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</si>
  <si>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</si>
  <si>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</si>
  <si>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</si>
  <si>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</si>
  <si>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</si>
  <si>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</si>
  <si>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</si>
  <si>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</si>
  <si>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</si>
  <si>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</si>
  <si>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</si>
  <si>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</si>
  <si>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</si>
  <si>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</si>
  <si>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</si>
  <si>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</si>
  <si>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</si>
  <si>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</si>
  <si>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</si>
  <si>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</si>
  <si>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</si>
  <si>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</si>
  <si>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</si>
  <si>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</si>
  <si>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</si>
  <si>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</si>
  <si>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</si>
  <si>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</si>
  <si>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</si>
  <si>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</si>
  <si>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</si>
  <si>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</si>
  <si>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</si>
  <si>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</si>
  <si>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</si>
  <si>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</si>
  <si>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</si>
  <si>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</si>
  <si>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</si>
  <si>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</si>
  <si>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</si>
  <si>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</si>
  <si>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</si>
  <si>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</si>
  <si>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</si>
  <si>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</si>
  <si>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</si>
  <si>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</si>
  <si>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</si>
  <si>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</si>
  <si>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</si>
  <si>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</si>
  <si>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</si>
  <si>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</si>
  <si>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</si>
  <si>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</si>
  <si>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</si>
  <si>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</si>
  <si>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</si>
  <si>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</si>
  <si>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</si>
  <si>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</si>
  <si>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</si>
  <si>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</si>
  <si>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</si>
  <si>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</si>
  <si>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</si>
  <si>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</si>
  <si>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</si>
  <si>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</si>
  <si>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</si>
  <si>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</si>
  <si>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</si>
  <si>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</si>
  <si>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</si>
  <si>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</si>
  <si>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</si>
  <si>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</si>
  <si>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</si>
  <si>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</si>
  <si>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</si>
  <si>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</si>
  <si>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</si>
  <si>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</si>
  <si>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</si>
  <si>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</si>
  <si>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</si>
  <si>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</si>
  <si>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</si>
  <si>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</si>
  <si>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</si>
  <si>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</si>
  <si>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</si>
  <si>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</si>
  <si>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</si>
  <si>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</si>
  <si>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</si>
  <si>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</si>
  <si>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</si>
  <si>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</si>
  <si>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</si>
  <si>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</si>
  <si>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</si>
  <si>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</si>
  <si>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</si>
  <si>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</si>
  <si>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</si>
  <si>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</si>
  <si>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</si>
  <si>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</si>
  <si>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</si>
  <si>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</si>
  <si>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</si>
  <si>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</si>
  <si>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</si>
  <si>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</si>
  <si>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</si>
  <si>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</si>
  <si>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</si>
  <si>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</si>
  <si>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</si>
  <si>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</si>
  <si>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</si>
  <si>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</si>
  <si>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</si>
  <si>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</si>
  <si>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</si>
  <si>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</si>
  <si>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</si>
  <si>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</si>
  <si>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</si>
  <si>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</si>
  <si>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</si>
  <si>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</si>
  <si>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</si>
  <si>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</si>
  <si>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</si>
  <si>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</si>
  <si>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</si>
  <si>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</si>
  <si>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</si>
  <si>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</si>
  <si>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</si>
  <si>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</si>
  <si>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</si>
  <si>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</si>
  <si>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</si>
  <si>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</si>
  <si>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</si>
  <si>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</si>
  <si>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</si>
  <si>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</si>
  <si>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</si>
  <si>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</si>
  <si>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</si>
  <si>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</si>
  <si>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</si>
  <si>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</si>
  <si>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</si>
  <si>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</si>
  <si>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</si>
  <si>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</si>
  <si>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</si>
  <si>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</si>
  <si>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</si>
  <si>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</si>
  <si>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</si>
  <si>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</si>
  <si>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</si>
  <si>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</si>
  <si>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</si>
  <si>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</si>
  <si>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</si>
  <si>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</si>
  <si>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</si>
  <si>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</si>
  <si>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</si>
  <si>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</si>
  <si>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</si>
  <si>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</si>
  <si>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</si>
  <si>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</si>
  <si>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</si>
  <si>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</si>
  <si>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</si>
  <si>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</si>
  <si>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</si>
  <si>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</si>
  <si>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</si>
  <si>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</si>
  <si>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</si>
  <si>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</si>
  <si>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</si>
  <si>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</si>
  <si>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</si>
  <si>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</si>
  <si>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</si>
  <si>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</si>
  <si>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</si>
  <si>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</si>
  <si>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</si>
  <si>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</si>
  <si>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</si>
  <si>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</si>
  <si>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</si>
  <si>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</si>
  <si>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</si>
  <si>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</si>
  <si>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</si>
  <si>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</si>
  <si>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</si>
  <si>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</si>
  <si>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</si>
  <si>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</si>
  <si>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</si>
  <si>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</si>
  <si>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</si>
  <si>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</si>
  <si>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</si>
  <si>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</si>
  <si>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</si>
  <si>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</si>
  <si>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</si>
  <si>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</si>
  <si>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</si>
  <si>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</si>
  <si>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</si>
  <si>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</si>
  <si>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</si>
  <si>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</si>
  <si>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</si>
  <si>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</si>
  <si>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</si>
  <si>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</si>
  <si>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</si>
  <si>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</si>
  <si>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</si>
  <si>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</si>
  <si>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</si>
  <si>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</si>
  <si>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</si>
  <si>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</si>
  <si>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</si>
  <si>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</si>
  <si>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</si>
  <si>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</si>
  <si>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</si>
  <si>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</si>
  <si>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</si>
  <si>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</si>
  <si>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</si>
  <si>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</si>
  <si>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</si>
  <si>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</si>
  <si>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</si>
  <si>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</si>
  <si>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</si>
  <si>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</si>
  <si>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</si>
  <si>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</si>
  <si>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</si>
  <si>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</si>
  <si>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</si>
  <si>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</si>
  <si>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</si>
  <si>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</si>
  <si>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</si>
  <si>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</si>
  <si>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</si>
  <si>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</si>
  <si>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</si>
  <si>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</si>
  <si>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</si>
  <si>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</si>
  <si>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</si>
  <si>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</si>
  <si>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</si>
  <si>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</si>
  <si>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</si>
  <si>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</si>
  <si>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</si>
  <si>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</si>
  <si>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</si>
  <si>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</si>
  <si>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</si>
  <si>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</si>
  <si>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</si>
  <si>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</si>
  <si>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</si>
  <si>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</si>
  <si>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</si>
  <si>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</si>
  <si>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</si>
  <si>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</si>
  <si>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</si>
  <si>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</si>
  <si>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</si>
  <si>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</si>
  <si>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</si>
  <si>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</si>
  <si>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</si>
  <si>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</si>
  <si>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</si>
  <si>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</si>
  <si>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</si>
  <si>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</si>
  <si>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</si>
  <si>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</si>
  <si>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</si>
  <si>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</si>
  <si>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</si>
  <si>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</si>
  <si>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</si>
  <si>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</si>
  <si>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</si>
  <si>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</si>
  <si>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</si>
  <si>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</si>
  <si>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</si>
  <si>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</si>
  <si>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</si>
  <si>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</si>
  <si>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</si>
  <si>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</si>
  <si>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</si>
  <si>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</si>
  <si>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</si>
  <si>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</si>
  <si>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</si>
  <si>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</si>
  <si>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</si>
  <si>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</si>
  <si>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</si>
  <si>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</si>
  <si>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</si>
  <si>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</si>
  <si>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</si>
  <si>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</si>
  <si>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</si>
  <si>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</si>
  <si>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</si>
  <si>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</si>
  <si>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</si>
  <si>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</si>
  <si>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</si>
  <si>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</si>
  <si>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</si>
  <si>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</si>
  <si>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</si>
  <si>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</si>
  <si>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</si>
  <si>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</si>
  <si>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</si>
  <si>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</si>
  <si>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</si>
  <si>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</si>
  <si>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</si>
  <si>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</si>
  <si>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</si>
  <si>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</si>
  <si>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</si>
  <si>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</si>
  <si>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</si>
  <si>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</si>
  <si>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</si>
  <si>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</si>
  <si>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</si>
  <si>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</si>
  <si>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</si>
  <si>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</si>
  <si>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</si>
  <si>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</si>
  <si>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</si>
  <si>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</si>
  <si>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</si>
  <si>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</si>
  <si>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</si>
  <si>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</si>
  <si>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</si>
  <si>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</si>
  <si>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</si>
  <si>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</si>
  <si>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</si>
  <si>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</si>
  <si>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</si>
  <si>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</si>
  <si>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</si>
  <si>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</si>
  <si>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</si>
  <si>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</si>
  <si>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</si>
  <si>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</si>
  <si>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</si>
  <si>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</si>
  <si>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</si>
  <si>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</si>
  <si>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</si>
  <si>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</si>
  <si>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</si>
  <si>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</si>
  <si>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</si>
  <si>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</si>
  <si>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</si>
  <si>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</si>
  <si>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</si>
  <si>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</si>
  <si>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</si>
  <si>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</si>
  <si>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</si>
  <si>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</si>
  <si>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</si>
  <si>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</si>
  <si>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</si>
  <si>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</si>
  <si>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</si>
  <si>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</si>
  <si>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</si>
  <si>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</si>
  <si>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</si>
  <si>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</si>
  <si>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</si>
  <si>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</si>
  <si>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</si>
  <si>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</si>
  <si>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</si>
  <si>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</si>
  <si>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</si>
  <si>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</si>
  <si>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</si>
  <si>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</si>
  <si>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</si>
  <si>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</si>
  <si>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</si>
  <si>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</si>
  <si>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</si>
  <si>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</si>
  <si>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</si>
  <si>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</si>
  <si>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</si>
  <si>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</si>
  <si>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</si>
  <si>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</si>
  <si>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</si>
  <si>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</si>
  <si>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</si>
  <si>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</si>
  <si>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</si>
  <si>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</si>
  <si>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</si>
  <si>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</si>
  <si>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</si>
  <si>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</si>
  <si>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</si>
  <si>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</si>
  <si>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</si>
  <si>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</si>
  <si>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</si>
  <si>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</si>
  <si>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</si>
  <si>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</si>
  <si>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</si>
  <si>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</si>
  <si>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</si>
  <si>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</si>
  <si>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</si>
  <si>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</si>
  <si>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</si>
  <si>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</si>
  <si>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</si>
  <si>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</si>
  <si>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</si>
  <si>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</si>
  <si>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</si>
  <si>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</si>
  <si>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</si>
  <si>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</si>
  <si>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</si>
  <si>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</si>
  <si>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</si>
  <si>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</si>
  <si>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</si>
  <si>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</si>
  <si>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</si>
  <si>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</si>
  <si>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</si>
  <si>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</si>
  <si>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</si>
  <si>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</si>
  <si>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</si>
  <si>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</si>
  <si>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</si>
  <si>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</si>
  <si>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</si>
  <si>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</si>
  <si>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</si>
  <si>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</si>
  <si>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</si>
  <si>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</si>
  <si>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</si>
  <si>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</si>
  <si>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</si>
  <si>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</si>
  <si>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</si>
  <si>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</si>
  <si>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</si>
  <si>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</si>
  <si>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</si>
  <si>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</si>
  <si>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</si>
  <si>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</si>
  <si>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</si>
  <si>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</si>
  <si>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</si>
  <si>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</si>
  <si>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</si>
  <si>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</si>
  <si>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</si>
  <si>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</si>
  <si>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</si>
  <si>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</si>
  <si>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</si>
  <si>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欧红伟</t>
  </si>
  <si>
    <t>崔锴</t>
  </si>
  <si>
    <t>抵押</t>
  </si>
  <si>
    <t>房地产抵押价值</t>
  </si>
  <si>
    <t>中国工商银行股份有限公司北京王府井支行</t>
    <phoneticPr fontId="6" type="noConversion"/>
  </si>
  <si>
    <t>北京市</t>
  </si>
  <si>
    <t>出让</t>
  </si>
  <si>
    <t>企业</t>
  </si>
  <si>
    <t>研发、商业、地下商业、地下车库</t>
    <phoneticPr fontId="6" type="noConversion"/>
  </si>
  <si>
    <r>
      <rPr>
        <sz val="12"/>
        <color theme="9" tint="-0.249977111117893"/>
        <rFont val="宋体"/>
        <family val="3"/>
        <charset val="134"/>
      </rPr>
      <t>研发</t>
    </r>
    <r>
      <rPr>
        <sz val="12"/>
        <color theme="9" tint="-0.249977111117893"/>
        <rFont val="Arial"/>
        <family val="2"/>
      </rPr>
      <t>38.08</t>
    </r>
    <r>
      <rPr>
        <sz val="12"/>
        <color theme="9" tint="-0.249977111117893"/>
        <rFont val="宋体"/>
        <family val="3"/>
        <charset val="134"/>
      </rPr>
      <t>年、商业、地下商业</t>
    </r>
    <r>
      <rPr>
        <sz val="12"/>
        <color theme="9" tint="-0.249977111117893"/>
        <rFont val="Arial"/>
        <family val="2"/>
      </rPr>
      <t>28.07</t>
    </r>
    <r>
      <rPr>
        <sz val="12"/>
        <color theme="9" tint="-0.249977111117893"/>
        <rFont val="宋体"/>
        <family val="3"/>
        <charset val="134"/>
      </rPr>
      <t>年、地下车库</t>
    </r>
    <r>
      <rPr>
        <sz val="12"/>
        <color theme="9" tint="-0.249977111117893"/>
        <rFont val="Arial"/>
        <family val="2"/>
      </rPr>
      <t>38.08</t>
    </r>
    <r>
      <rPr>
        <sz val="12"/>
        <color theme="9" tint="-0.249977111117893"/>
        <rFont val="宋体"/>
        <family val="3"/>
        <charset val="134"/>
      </rPr>
      <t>年</t>
    </r>
    <phoneticPr fontId="6" type="noConversion"/>
  </si>
  <si>
    <t>是</t>
  </si>
  <si>
    <t>否</t>
  </si>
  <si>
    <t>《国有土地使用证》</t>
  </si>
  <si>
    <t>《不动产权证书》</t>
  </si>
  <si>
    <t>复印件</t>
  </si>
  <si>
    <t>无</t>
  </si>
  <si>
    <t>办公项目</t>
  </si>
  <si>
    <t>现房</t>
  </si>
  <si>
    <t>通路</t>
  </si>
  <si>
    <t>通电</t>
  </si>
  <si>
    <t>通讯</t>
  </si>
  <si>
    <t>通上水</t>
  </si>
  <si>
    <t>通下水</t>
  </si>
  <si>
    <t>Ⅸ-亦1</t>
  </si>
  <si>
    <r>
      <t>417</t>
    </r>
    <r>
      <rPr>
        <sz val="10"/>
        <color indexed="8"/>
        <rFont val="宋体"/>
        <family val="3"/>
        <charset val="134"/>
      </rPr>
      <t>研发中心</t>
    </r>
    <phoneticPr fontId="3" type="noConversion"/>
  </si>
  <si>
    <t>地上</t>
  </si>
  <si>
    <t>办公楼</t>
  </si>
  <si>
    <t>地下</t>
  </si>
  <si>
    <t>车库</t>
  </si>
  <si>
    <r>
      <t>2012</t>
    </r>
    <r>
      <rPr>
        <sz val="10"/>
        <color indexed="8"/>
        <rFont val="宋体"/>
        <family val="3"/>
        <charset val="134"/>
      </rPr>
      <t>规（通）建字</t>
    </r>
    <r>
      <rPr>
        <sz val="10"/>
        <color indexed="8"/>
        <rFont val="Arial"/>
        <family val="2"/>
      </rPr>
      <t>0067</t>
    </r>
    <r>
      <rPr>
        <sz val="10"/>
        <color indexed="8"/>
        <rFont val="宋体"/>
        <family val="3"/>
        <charset val="134"/>
      </rPr>
      <t>号</t>
    </r>
    <phoneticPr fontId="3" type="noConversion"/>
  </si>
  <si>
    <t>地上研发</t>
  </si>
  <si>
    <t>地下研发</t>
  </si>
  <si>
    <r>
      <rPr>
        <sz val="10"/>
        <color indexed="8"/>
        <rFont val="宋体"/>
        <family val="3"/>
        <charset val="134"/>
      </rPr>
      <t>土地使用权证号</t>
    </r>
    <phoneticPr fontId="3" type="noConversion"/>
  </si>
  <si>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</si>
  <si>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</si>
  <si>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建筑面积</t>
    </r>
    <phoneticPr fontId="143" type="noConversion"/>
  </si>
  <si>
    <r>
      <rPr>
        <sz val="10"/>
        <color indexed="8"/>
        <rFont val="宋体"/>
        <family val="3"/>
        <charset val="134"/>
      </rPr>
      <t>合计</t>
    </r>
    <phoneticPr fontId="143" type="noConversion"/>
  </si>
  <si>
    <r>
      <rPr>
        <sz val="10"/>
        <color indexed="8"/>
        <rFont val="宋体"/>
        <family val="3"/>
        <charset val="134"/>
      </rPr>
      <t>经营性用途</t>
    </r>
    <phoneticPr fontId="143" type="noConversion"/>
  </si>
  <si>
    <r>
      <rPr>
        <sz val="10"/>
        <color indexed="8"/>
        <rFont val="宋体"/>
        <family val="3"/>
        <charset val="134"/>
      </rPr>
      <t>非经营性用途</t>
    </r>
    <phoneticPr fontId="143" type="noConversion"/>
  </si>
  <si>
    <r>
      <rPr>
        <sz val="10"/>
        <color indexed="8"/>
        <rFont val="宋体"/>
        <family val="3"/>
        <charset val="134"/>
      </rPr>
      <t>小计</t>
    </r>
    <phoneticPr fontId="143" type="noConversion"/>
  </si>
  <si>
    <r>
      <rPr>
        <sz val="10"/>
        <color indexed="8"/>
        <rFont val="宋体"/>
        <family val="3"/>
        <charset val="134"/>
      </rPr>
      <t>地上研发</t>
    </r>
    <phoneticPr fontId="143" type="noConversion"/>
  </si>
  <si>
    <r>
      <rPr>
        <sz val="10"/>
        <color indexed="8"/>
        <rFont val="宋体"/>
        <family val="3"/>
        <charset val="134"/>
      </rPr>
      <t>地下研发</t>
    </r>
    <phoneticPr fontId="143" type="noConversion"/>
  </si>
  <si>
    <r>
      <rPr>
        <sz val="10"/>
        <color indexed="8"/>
        <rFont val="宋体"/>
        <family val="3"/>
        <charset val="134"/>
      </rPr>
      <t>地下车库</t>
    </r>
    <phoneticPr fontId="143" type="noConversion"/>
  </si>
  <si>
    <r>
      <rPr>
        <sz val="10"/>
        <color indexed="8"/>
        <rFont val="宋体"/>
        <family val="3"/>
        <charset val="134"/>
      </rPr>
      <t>地下研发配套</t>
    </r>
    <phoneticPr fontId="143" type="noConversion"/>
  </si>
  <si>
    <r>
      <rPr>
        <sz val="10"/>
        <color indexed="8"/>
        <rFont val="宋体"/>
        <family val="3"/>
        <charset val="134"/>
      </rPr>
      <t>地下附属用房</t>
    </r>
    <phoneticPr fontId="143" type="noConversion"/>
  </si>
  <si>
    <r>
      <t>404</t>
    </r>
    <r>
      <rPr>
        <sz val="10"/>
        <color indexed="8"/>
        <rFont val="宋体"/>
        <family val="3"/>
        <charset val="134"/>
      </rPr>
      <t>研发中心</t>
    </r>
  </si>
  <si>
    <r>
      <t>405</t>
    </r>
    <r>
      <rPr>
        <sz val="10"/>
        <color indexed="8"/>
        <rFont val="宋体"/>
        <family val="3"/>
        <charset val="134"/>
      </rPr>
      <t>研发中心</t>
    </r>
  </si>
  <si>
    <r>
      <t>407</t>
    </r>
    <r>
      <rPr>
        <sz val="10"/>
        <color indexed="8"/>
        <rFont val="宋体"/>
        <family val="3"/>
        <charset val="134"/>
      </rPr>
      <t>研发中心</t>
    </r>
  </si>
  <si>
    <r>
      <t>408</t>
    </r>
    <r>
      <rPr>
        <sz val="10"/>
        <color indexed="8"/>
        <rFont val="宋体"/>
        <family val="3"/>
        <charset val="134"/>
      </rPr>
      <t>研发中心</t>
    </r>
  </si>
  <si>
    <r>
      <t>410</t>
    </r>
    <r>
      <rPr>
        <sz val="10"/>
        <color indexed="8"/>
        <rFont val="宋体"/>
        <family val="3"/>
        <charset val="134"/>
      </rPr>
      <t>研发中心</t>
    </r>
  </si>
  <si>
    <r>
      <t>411</t>
    </r>
    <r>
      <rPr>
        <sz val="10"/>
        <color indexed="8"/>
        <rFont val="宋体"/>
        <family val="3"/>
        <charset val="134"/>
      </rPr>
      <t>研发中心</t>
    </r>
  </si>
  <si>
    <r>
      <t>412</t>
    </r>
    <r>
      <rPr>
        <sz val="10"/>
        <color indexed="8"/>
        <rFont val="宋体"/>
        <family val="3"/>
        <charset val="134"/>
      </rPr>
      <t>研发中心</t>
    </r>
  </si>
  <si>
    <r>
      <t>413</t>
    </r>
    <r>
      <rPr>
        <sz val="10"/>
        <color indexed="8"/>
        <rFont val="宋体"/>
        <family val="3"/>
        <charset val="134"/>
      </rPr>
      <t>研发中心</t>
    </r>
  </si>
  <si>
    <r>
      <t>414</t>
    </r>
    <r>
      <rPr>
        <sz val="10"/>
        <color indexed="8"/>
        <rFont val="宋体"/>
        <family val="3"/>
        <charset val="134"/>
      </rPr>
      <t>研发中心</t>
    </r>
  </si>
  <si>
    <r>
      <t>415</t>
    </r>
    <r>
      <rPr>
        <sz val="10"/>
        <color indexed="8"/>
        <rFont val="宋体"/>
        <family val="3"/>
        <charset val="134"/>
      </rPr>
      <t>研发中心</t>
    </r>
  </si>
  <si>
    <r>
      <t>416</t>
    </r>
    <r>
      <rPr>
        <sz val="10"/>
        <color indexed="8"/>
        <rFont val="宋体"/>
        <family val="3"/>
        <charset val="134"/>
      </rPr>
      <t>研发中心</t>
    </r>
  </si>
  <si>
    <r>
      <rPr>
        <sz val="10"/>
        <color theme="1"/>
        <rFont val="宋体"/>
        <family val="3"/>
        <charset val="134"/>
      </rPr>
      <t>序号</t>
    </r>
    <phoneticPr fontId="143" type="noConversion"/>
  </si>
  <si>
    <r>
      <rPr>
        <sz val="10"/>
        <color theme="1"/>
        <rFont val="宋体"/>
        <family val="3"/>
        <charset val="134"/>
      </rPr>
      <t>人防</t>
    </r>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</si>
  <si>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00001</t>
    </r>
    <r>
      <rPr>
        <sz val="10"/>
        <color theme="1"/>
        <rFont val="宋体"/>
        <family val="3"/>
        <charset val="134"/>
      </rPr>
      <t>号</t>
    </r>
    <phoneticPr fontId="143" type="noConversion"/>
  </si>
  <si>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</si>
  <si>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406</t>
    </r>
    <r>
      <rPr>
        <sz val="10"/>
        <color indexed="8"/>
        <rFont val="宋体"/>
        <family val="3"/>
        <charset val="134"/>
      </rPr>
      <t>研发中心</t>
    </r>
    <phoneticPr fontId="3" type="noConversion"/>
  </si>
  <si>
    <r>
      <t>2012</t>
    </r>
    <r>
      <rPr>
        <sz val="10"/>
        <color theme="1"/>
        <rFont val="宋体"/>
        <family val="3"/>
        <charset val="134"/>
      </rPr>
      <t>规（通）建字</t>
    </r>
    <r>
      <rPr>
        <sz val="10"/>
        <color theme="1"/>
        <rFont val="Arial"/>
        <family val="2"/>
      </rPr>
      <t>0068</t>
    </r>
    <r>
      <rPr>
        <sz val="10"/>
        <color theme="1"/>
        <rFont val="宋体"/>
        <family val="3"/>
        <charset val="134"/>
      </rPr>
      <t>号</t>
    </r>
    <phoneticPr fontId="143" type="noConversion"/>
  </si>
  <si>
    <r>
      <t>419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</si>
  <si>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0073</t>
    </r>
    <r>
      <rPr>
        <sz val="10"/>
        <color theme="1"/>
        <rFont val="宋体"/>
        <family val="3"/>
        <charset val="134"/>
      </rPr>
      <t>号</t>
    </r>
    <phoneticPr fontId="143" type="noConversion"/>
  </si>
  <si>
    <r>
      <t>409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</si>
  <si>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0075</t>
    </r>
    <r>
      <rPr>
        <sz val="10"/>
        <color theme="1"/>
        <rFont val="宋体"/>
        <family val="3"/>
        <charset val="134"/>
      </rPr>
      <t>号</t>
    </r>
    <phoneticPr fontId="143" type="noConversion"/>
  </si>
  <si>
    <r>
      <t>418</t>
    </r>
    <r>
      <rPr>
        <sz val="10"/>
        <color indexed="8"/>
        <rFont val="宋体"/>
        <family val="3"/>
        <charset val="134"/>
      </rPr>
      <t>研发中心</t>
    </r>
    <phoneticPr fontId="143" type="noConversion"/>
  </si>
  <si>
    <r>
      <t>401</t>
    </r>
    <r>
      <rPr>
        <sz val="10"/>
        <color rgb="FFFF0000"/>
        <rFont val="宋体"/>
        <family val="3"/>
        <charset val="134"/>
      </rPr>
      <t>研发中心</t>
    </r>
    <phoneticPr fontId="3" type="noConversion"/>
  </si>
  <si>
    <r>
      <t>402</t>
    </r>
    <r>
      <rPr>
        <sz val="10"/>
        <color rgb="FFFF0000"/>
        <rFont val="宋体"/>
        <family val="3"/>
        <charset val="134"/>
      </rPr>
      <t>研发中心</t>
    </r>
  </si>
  <si>
    <r>
      <t>403</t>
    </r>
    <r>
      <rPr>
        <sz val="10"/>
        <color rgb="FFFF0000"/>
        <rFont val="宋体"/>
        <family val="3"/>
        <charset val="134"/>
      </rPr>
      <t>研发中心</t>
    </r>
  </si>
  <si>
    <t>地上研发</t>
    <phoneticPr fontId="7" type="noConversion"/>
  </si>
  <si>
    <t>地下研发</t>
    <phoneticPr fontId="7" type="noConversion"/>
  </si>
  <si>
    <t>地下车库</t>
    <phoneticPr fontId="7" type="noConversion"/>
  </si>
  <si>
    <t>已部分缴纳</t>
  </si>
  <si>
    <t>未包含在土地购买价格中</t>
  </si>
  <si>
    <t>全部缴纳</t>
  </si>
  <si>
    <t>已包含在土地取得成本中</t>
  </si>
  <si>
    <t>科教用地</t>
  </si>
  <si>
    <t>不临58条商业街</t>
  </si>
  <si>
    <t>有</t>
  </si>
  <si>
    <t>500-1000米</t>
  </si>
  <si>
    <t>五通一平</t>
  </si>
  <si>
    <t>一致</t>
  </si>
  <si>
    <t>容积率修正</t>
  </si>
  <si>
    <t>——</t>
    <phoneticPr fontId="3" type="noConversion"/>
  </si>
  <si>
    <t>估价对象位于国家环保产业园，周边办公楼项目较少，联动U谷，入驻率低，综合评价办公集聚程度较差</t>
    <phoneticPr fontId="3" type="noConversion"/>
  </si>
  <si>
    <t>周边有821等多条公交线路，北侧1.8km有南六环综合评价交通便捷度较差</t>
    <phoneticPr fontId="3" type="noConversion"/>
  </si>
  <si>
    <t>估价对象所在区域公共配套设施（超市：永辉超市(合生世界村店)、学校：海贝儿国际幼儿园）齐备度较差</t>
    <phoneticPr fontId="3" type="noConversion"/>
  </si>
  <si>
    <t>估价对象所在区域基础设施水平六通一平；</t>
    <phoneticPr fontId="3" type="noConversion"/>
  </si>
  <si>
    <t>区域自然环境：凉水河；人文环境无；综合评价环境状况一般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</si>
  <si>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房辛路</t>
    </r>
    <phoneticPr fontId="3" type="noConversion"/>
  </si>
  <si>
    <t>有部分住宅用地，区域土地利用方向基本一致</t>
    <phoneticPr fontId="3" type="noConversion"/>
  </si>
  <si>
    <t>双面临街</t>
  </si>
  <si>
    <t>宽度310米，深度310米,临街宽度及深度比例较适宜，对土地利用无不利影响</t>
    <phoneticPr fontId="79" type="noConversion"/>
  </si>
  <si>
    <t>宗地形状较规整，但对宗地利用影响较小</t>
    <phoneticPr fontId="3" type="noConversion"/>
  </si>
  <si>
    <t>较差</t>
  </si>
  <si>
    <t>一般</t>
  </si>
  <si>
    <t>较好</t>
  </si>
  <si>
    <t>地价指数</t>
  </si>
  <si>
    <t>收益法-地下车库</t>
  </si>
  <si>
    <t>收益法-地下车库</t>
    <phoneticPr fontId="16" type="noConversion"/>
  </si>
  <si>
    <t>收益法-地下研发</t>
  </si>
  <si>
    <t>收益法-地下研发</t>
    <phoneticPr fontId="16" type="noConversion"/>
  </si>
  <si>
    <t>收益法-地上研发</t>
  </si>
  <si>
    <t>收益法-地上研发</t>
    <phoneticPr fontId="16" type="noConversion"/>
  </si>
  <si>
    <t>在建（套用方法）</t>
  </si>
  <si>
    <t>押一</t>
  </si>
  <si>
    <t>按租金收入计税</t>
  </si>
  <si>
    <t>非生产用房</t>
  </si>
  <si>
    <t>钢混</t>
  </si>
  <si>
    <t>自定义</t>
  </si>
  <si>
    <t>成本法</t>
  </si>
  <si>
    <t>假设开发法</t>
  </si>
  <si>
    <t>成本比率</t>
  </si>
  <si>
    <t>建设内容/楼号</t>
  </si>
  <si>
    <t>213#研发楼</t>
  </si>
  <si>
    <t>204#研发楼</t>
  </si>
  <si>
    <t>205#研发楼</t>
  </si>
  <si>
    <t>2012规（通）建字0069号</t>
  </si>
  <si>
    <t>206#研发楼</t>
  </si>
  <si>
    <t>2012规（通）建字0070号</t>
  </si>
  <si>
    <t>212#研发楼</t>
  </si>
  <si>
    <t>218#研发楼</t>
  </si>
  <si>
    <t>2012规（通）建字0071号</t>
  </si>
  <si>
    <t>219#地下车库</t>
  </si>
  <si>
    <t>2012规（通）建字0072号</t>
  </si>
  <si>
    <t>217#研发楼</t>
  </si>
  <si>
    <r>
      <t>203#</t>
    </r>
    <r>
      <rPr>
        <sz val="10"/>
        <color theme="1"/>
        <rFont val="宋体"/>
        <family val="3"/>
        <charset val="134"/>
      </rPr>
      <t>研发楼（</t>
    </r>
    <r>
      <rPr>
        <sz val="10"/>
        <color theme="1"/>
        <rFont val="Arial"/>
        <family val="2"/>
      </rPr>
      <t>1</t>
    </r>
    <r>
      <rPr>
        <sz val="10"/>
        <color theme="1"/>
        <rFont val="宋体"/>
        <family val="3"/>
        <charset val="134"/>
      </rPr>
      <t>号楼）</t>
    </r>
    <phoneticPr fontId="143" type="noConversion"/>
  </si>
  <si>
    <r>
      <t>202#</t>
    </r>
    <r>
      <rPr>
        <sz val="10"/>
        <color theme="1"/>
        <rFont val="宋体"/>
        <family val="3"/>
        <charset val="134"/>
      </rPr>
      <t>研发楼（</t>
    </r>
    <r>
      <rPr>
        <sz val="10"/>
        <color theme="1"/>
        <rFont val="Arial"/>
        <family val="2"/>
      </rPr>
      <t>2</t>
    </r>
    <r>
      <rPr>
        <sz val="10"/>
        <color theme="1"/>
        <rFont val="宋体"/>
        <family val="3"/>
        <charset val="134"/>
      </rPr>
      <t>号楼）</t>
    </r>
    <phoneticPr fontId="143" type="noConversion"/>
  </si>
  <si>
    <r>
      <t>201#</t>
    </r>
    <r>
      <rPr>
        <sz val="10"/>
        <color theme="1"/>
        <rFont val="宋体"/>
        <family val="3"/>
        <charset val="134"/>
      </rPr>
      <t>研发楼（</t>
    </r>
    <r>
      <rPr>
        <sz val="10"/>
        <color theme="1"/>
        <rFont val="Arial"/>
        <family val="2"/>
      </rPr>
      <t>3</t>
    </r>
    <r>
      <rPr>
        <sz val="10"/>
        <color theme="1"/>
        <rFont val="宋体"/>
        <family val="3"/>
        <charset val="134"/>
      </rPr>
      <t>号楼）</t>
    </r>
    <phoneticPr fontId="143" type="noConversion"/>
  </si>
  <si>
    <r>
      <t>207#</t>
    </r>
    <r>
      <rPr>
        <sz val="10"/>
        <color theme="1"/>
        <rFont val="宋体"/>
        <family val="3"/>
        <charset val="134"/>
      </rPr>
      <t>研发楼（</t>
    </r>
    <r>
      <rPr>
        <sz val="10"/>
        <color theme="1"/>
        <rFont val="Arial"/>
        <family val="2"/>
      </rPr>
      <t>14</t>
    </r>
    <r>
      <rPr>
        <sz val="10"/>
        <color theme="1"/>
        <rFont val="宋体"/>
        <family val="3"/>
        <charset val="134"/>
      </rPr>
      <t>号楼）</t>
    </r>
    <phoneticPr fontId="143" type="noConversion"/>
  </si>
  <si>
    <r>
      <t>208#</t>
    </r>
    <r>
      <rPr>
        <sz val="10"/>
        <color theme="1"/>
        <rFont val="宋体"/>
        <family val="3"/>
        <charset val="134"/>
      </rPr>
      <t>研发楼（</t>
    </r>
    <r>
      <rPr>
        <sz val="10"/>
        <color theme="1"/>
        <rFont val="Arial"/>
        <family val="2"/>
      </rPr>
      <t>15</t>
    </r>
    <r>
      <rPr>
        <sz val="10"/>
        <color theme="1"/>
        <rFont val="宋体"/>
        <family val="3"/>
        <charset val="134"/>
      </rPr>
      <t>号楼）</t>
    </r>
    <phoneticPr fontId="143" type="noConversion"/>
  </si>
  <si>
    <r>
      <t>209#</t>
    </r>
    <r>
      <rPr>
        <sz val="10"/>
        <color theme="1"/>
        <rFont val="宋体"/>
        <family val="3"/>
        <charset val="134"/>
      </rPr>
      <t>研发楼（</t>
    </r>
    <r>
      <rPr>
        <sz val="10"/>
        <color theme="1"/>
        <rFont val="Arial"/>
        <family val="2"/>
      </rPr>
      <t>16</t>
    </r>
    <r>
      <rPr>
        <sz val="10"/>
        <color theme="1"/>
        <rFont val="宋体"/>
        <family val="3"/>
        <charset val="134"/>
      </rPr>
      <t>号楼）</t>
    </r>
    <phoneticPr fontId="143" type="noConversion"/>
  </si>
  <si>
    <r>
      <t>216#</t>
    </r>
    <r>
      <rPr>
        <sz val="10"/>
        <color theme="1"/>
        <rFont val="宋体"/>
        <family val="3"/>
        <charset val="134"/>
      </rPr>
      <t>研发楼（</t>
    </r>
    <r>
      <rPr>
        <sz val="10"/>
        <color theme="1"/>
        <rFont val="Arial"/>
        <family val="2"/>
      </rPr>
      <t>4</t>
    </r>
    <r>
      <rPr>
        <sz val="10"/>
        <color theme="1"/>
        <rFont val="宋体"/>
        <family val="3"/>
        <charset val="134"/>
      </rPr>
      <t>号楼）</t>
    </r>
    <phoneticPr fontId="143" type="noConversion"/>
  </si>
  <si>
    <r>
      <t>215#</t>
    </r>
    <r>
      <rPr>
        <sz val="10"/>
        <color theme="1"/>
        <rFont val="宋体"/>
        <family val="3"/>
        <charset val="134"/>
      </rPr>
      <t>研发楼（</t>
    </r>
    <r>
      <rPr>
        <sz val="10"/>
        <color theme="1"/>
        <rFont val="Arial"/>
        <family val="2"/>
      </rPr>
      <t>5</t>
    </r>
    <r>
      <rPr>
        <sz val="10"/>
        <color theme="1"/>
        <rFont val="宋体"/>
        <family val="3"/>
        <charset val="134"/>
      </rPr>
      <t>号楼）</t>
    </r>
    <phoneticPr fontId="143" type="noConversion"/>
  </si>
  <si>
    <r>
      <t>214#</t>
    </r>
    <r>
      <rPr>
        <sz val="10"/>
        <color theme="1"/>
        <rFont val="宋体"/>
        <family val="3"/>
        <charset val="134"/>
      </rPr>
      <t>研发楼（</t>
    </r>
    <r>
      <rPr>
        <sz val="10"/>
        <color theme="1"/>
        <rFont val="Arial"/>
        <family val="2"/>
      </rPr>
      <t>6</t>
    </r>
    <r>
      <rPr>
        <sz val="10"/>
        <color theme="1"/>
        <rFont val="宋体"/>
        <family val="3"/>
        <charset val="134"/>
      </rPr>
      <t>号楼）</t>
    </r>
    <phoneticPr fontId="143" type="noConversion"/>
  </si>
  <si>
    <t>京（2018）通不动产权第0061868号</t>
  </si>
  <si>
    <t>京（2018）通不动产权第0061866号</t>
  </si>
  <si>
    <t>京（2018）通不动产权第0061869号</t>
  </si>
  <si>
    <t>京（2018）通不动产权第0061863号</t>
  </si>
  <si>
    <t>京（2018）通不动产权第0061867号</t>
  </si>
  <si>
    <t>京（2018）通不动产权第0055468号</t>
  </si>
  <si>
    <t>京（2018）通不动产权第0055470号</t>
  </si>
  <si>
    <t>京（2018）通不动产权第0059820号</t>
  </si>
  <si>
    <t>京（2018）通不动产权第0059821号</t>
  </si>
  <si>
    <t>京（2018）通不动产权第0059822号</t>
  </si>
  <si>
    <r>
      <t>2012</t>
    </r>
    <r>
      <rPr>
        <sz val="10"/>
        <color theme="1"/>
        <rFont val="宋体"/>
        <family val="3"/>
        <charset val="134"/>
      </rPr>
      <t>规（通）建字</t>
    </r>
    <r>
      <rPr>
        <sz val="10"/>
        <color theme="1"/>
        <rFont val="Arial"/>
        <family val="2"/>
      </rPr>
      <t>0070</t>
    </r>
    <r>
      <rPr>
        <sz val="10"/>
        <color theme="1"/>
        <rFont val="宋体"/>
        <family val="3"/>
        <charset val="134"/>
      </rPr>
      <t>号</t>
    </r>
    <phoneticPr fontId="143" type="noConversion"/>
  </si>
  <si>
    <t>北京创合丰威房地产开发有限公司</t>
    <phoneticPr fontId="6" type="noConversion"/>
  </si>
  <si>
    <t>地上附属用房</t>
    <phoneticPr fontId="143" type="noConversion"/>
  </si>
  <si>
    <r>
      <t>210#</t>
    </r>
    <r>
      <rPr>
        <sz val="10"/>
        <color theme="1"/>
        <rFont val="宋体"/>
        <family val="3"/>
        <charset val="134"/>
      </rPr>
      <t>研发楼（</t>
    </r>
    <r>
      <rPr>
        <sz val="10"/>
        <color theme="1"/>
        <rFont val="Arial"/>
        <family val="2"/>
      </rPr>
      <t>17</t>
    </r>
    <r>
      <rPr>
        <sz val="10"/>
        <color theme="1"/>
        <rFont val="宋体"/>
        <family val="3"/>
        <charset val="134"/>
      </rPr>
      <t>号楼）</t>
    </r>
    <phoneticPr fontId="143" type="noConversion"/>
  </si>
  <si>
    <r>
      <t>211#</t>
    </r>
    <r>
      <rPr>
        <sz val="10"/>
        <color theme="1"/>
        <rFont val="宋体"/>
        <family val="3"/>
        <charset val="134"/>
      </rPr>
      <t>研发楼（</t>
    </r>
    <r>
      <rPr>
        <sz val="10"/>
        <color theme="1"/>
        <rFont val="Arial"/>
        <family val="2"/>
      </rPr>
      <t>18</t>
    </r>
    <r>
      <rPr>
        <sz val="10"/>
        <color theme="1"/>
        <rFont val="宋体"/>
        <family val="3"/>
        <charset val="134"/>
      </rPr>
      <t>号楼）</t>
    </r>
    <phoneticPr fontId="143" type="noConversion"/>
  </si>
  <si>
    <r>
      <rPr>
        <sz val="10"/>
        <color theme="1"/>
        <rFont val="宋体"/>
        <family val="3"/>
        <charset val="134"/>
      </rPr>
      <t>工程规划证号</t>
    </r>
    <r>
      <rPr>
        <sz val="10"/>
        <color theme="1"/>
        <rFont val="Arial"/>
        <family val="2"/>
      </rPr>
      <t>/</t>
    </r>
    <r>
      <rPr>
        <sz val="10"/>
        <color theme="1"/>
        <rFont val="宋体"/>
        <family val="3"/>
        <charset val="134"/>
      </rPr>
      <t>不动产证号</t>
    </r>
    <phoneticPr fontId="143" type="noConversion"/>
  </si>
  <si>
    <t>序号</t>
    <phoneticPr fontId="143" type="noConversion"/>
  </si>
  <si>
    <t>土地使用权证号</t>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</si>
  <si>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00007</t>
    </r>
    <r>
      <rPr>
        <sz val="10"/>
        <color theme="1"/>
        <rFont val="宋体"/>
        <family val="3"/>
        <charset val="134"/>
      </rPr>
      <t>号</t>
    </r>
    <phoneticPr fontId="143" type="noConversion"/>
  </si>
  <si>
    <t>现房地上研发</t>
    <phoneticPr fontId="143" type="noConversion"/>
  </si>
  <si>
    <t>现房地下研发</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</si>
  <si>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00007</t>
    </r>
    <r>
      <rPr>
        <sz val="12"/>
        <color theme="9" tint="-0.249977111117893"/>
        <rFont val="宋体"/>
        <family val="3"/>
        <charset val="134"/>
      </rPr>
      <t>号</t>
    </r>
    <r>
      <rPr>
        <sz val="12"/>
        <color theme="9" tint="-0.249977111117893"/>
        <rFont val="Arial"/>
        <family val="2"/>
      </rPr>
      <t>]</t>
    </r>
    <phoneticPr fontId="6" type="noConversion"/>
  </si>
  <si>
    <t>已注销</t>
  </si>
  <si>
    <t>《建设工程规划许可证》[2012规（通）建字0069、0070、0071、0072、0074号]</t>
    <phoneticPr fontId="6" type="noConversion"/>
  </si>
  <si>
    <t>2018-1-0866-P02DYGJ1</t>
    <phoneticPr fontId="6" type="noConversion"/>
  </si>
  <si>
    <t>北京市通州区国家环保产业园区科研用地D地块南区珠江逸景科技园项目研发、地下研发、地下车库用房分摊的出让国有建设用地使用权及在建建筑物房地产</t>
    <phoneticPr fontId="6" type="noConversion"/>
  </si>
  <si>
    <r>
      <rPr>
        <sz val="10"/>
        <color theme="1"/>
        <rFont val="宋体"/>
        <family val="3"/>
        <charset val="134"/>
      </rPr>
      <t>京（</t>
    </r>
    <r>
      <rPr>
        <sz val="10"/>
        <color theme="1"/>
        <rFont val="Arial"/>
        <family val="2"/>
      </rPr>
      <t>2018</t>
    </r>
    <r>
      <rPr>
        <sz val="10"/>
        <color theme="1"/>
        <rFont val="宋体"/>
        <family val="3"/>
        <charset val="134"/>
      </rPr>
      <t>）通不动产权第</t>
    </r>
    <r>
      <rPr>
        <sz val="10"/>
        <color theme="1"/>
        <rFont val="Arial"/>
        <family val="2"/>
      </rPr>
      <t>0055469</t>
    </r>
    <r>
      <rPr>
        <sz val="10"/>
        <color theme="1"/>
        <rFont val="宋体"/>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</si>
</sst>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05" fillId="0" borderId="1" xfId="0" applyFont="1" applyBorder="1">
      <alignment vertical="center"/>
    </xf>
    <xf numFmtId="0" fontId="105" fillId="0" borderId="0" xfId="0" applyFont="1">
      <alignment vertical="center"/>
    </xf>
    <xf numFmtId="0" fontId="105" fillId="0" borderId="1" xfId="0" applyFont="1" applyFill="1" applyBorder="1">
      <alignment vertical="center"/>
    </xf>
    <xf numFmtId="0" fontId="120" fillId="5" borderId="1" xfId="0" applyFont="1" applyFill="1" applyBorder="1" applyAlignment="1" applyProtection="1">
      <alignment horizontal="center" vertical="center" wrapText="1"/>
      <protection locked="0"/>
    </xf>
    <xf numFmtId="0" fontId="120" fillId="5" borderId="1" xfId="0" applyFont="1" applyFill="1" applyBorder="1">
      <alignment vertical="center"/>
    </xf>
    <xf numFmtId="0" fontId="56"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0" fontId="254" fillId="5" borderId="3"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4"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05" fillId="0" borderId="1" xfId="0" applyFont="1" applyBorder="1" applyAlignment="1">
      <alignment horizontal="left" vertical="center"/>
    </xf>
    <xf numFmtId="0" fontId="80" fillId="0" borderId="1" xfId="0" applyFont="1" applyBorder="1" applyAlignment="1" applyProtection="1">
      <alignment horizontal="center" vertical="center" wrapText="1"/>
      <protection locked="0"/>
    </xf>
    <xf numFmtId="0" fontId="130" fillId="5" borderId="0" xfId="0" applyFont="1" applyFill="1" applyAlignment="1">
      <alignment vertical="center" wrapText="1"/>
    </xf>
    <xf numFmtId="0" fontId="105"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30" fillId="0" borderId="1" xfId="0" applyFont="1" applyBorder="1" applyAlignment="1">
      <alignment horizontal="center" vertical="center"/>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2" xfId="0" applyFont="1" applyBorder="1" applyAlignment="1">
      <alignment horizontal="center" vertical="center" wrapText="1"/>
    </xf>
    <xf numFmtId="0" fontId="50" fillId="0" borderId="1" xfId="0" applyFont="1" applyBorder="1" applyAlignment="1" applyProtection="1">
      <alignment horizontal="center" vertical="center" wrapText="1"/>
      <protection locked="0"/>
    </xf>
    <xf numFmtId="0" fontId="105" fillId="0" borderId="1" xfId="0" applyFont="1" applyBorder="1" applyAlignment="1">
      <alignment horizontal="center" vertical="center"/>
    </xf>
    <xf numFmtId="0" fontId="105" fillId="0" borderId="13" xfId="0" applyFont="1" applyBorder="1" applyAlignment="1">
      <alignment horizontal="center" vertical="center"/>
    </xf>
    <xf numFmtId="0" fontId="105" fillId="0" borderId="15" xfId="0" applyFont="1" applyBorder="1" applyAlignment="1">
      <alignment horizontal="center" vertical="center"/>
    </xf>
    <xf numFmtId="0" fontId="105" fillId="0" borderId="2" xfId="0" applyFont="1" applyBorder="1" applyAlignment="1">
      <alignment horizontal="center" vertical="center"/>
    </xf>
    <xf numFmtId="0" fontId="105" fillId="0" borderId="1" xfId="0" applyFont="1" applyBorder="1" applyAlignment="1">
      <alignment horizontal="left" vertical="center"/>
    </xf>
    <xf numFmtId="0" fontId="50" fillId="0" borderId="1" xfId="0" applyFont="1" applyFill="1" applyBorder="1" applyAlignment="1" applyProtection="1">
      <alignment horizontal="center"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208465</xdr:colOff>
      <xdr:row>8</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21335;&#22320;&#2235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地上研发"/>
      <sheetName val="收益法-地下研发"/>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42472.27</v>
          </cell>
          <cell r="E3">
            <v>195877.62</v>
          </cell>
        </row>
      </sheetData>
      <sheetData sheetId="15" refreshError="1"/>
      <sheetData sheetId="16" refreshError="1"/>
      <sheetData sheetId="17">
        <row r="14">
          <cell r="B14">
            <v>195877.62</v>
          </cell>
          <cell r="C14">
            <v>42472.27</v>
          </cell>
          <cell r="D14">
            <v>211792</v>
          </cell>
          <cell r="G14">
            <v>211792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row>
    <row r="3" spans="1:2" s="1593" customFormat="1">
      <c r="A3" s="1591" t="s">
        <v>1217</v>
      </c>
      <c r="B3" s="1592" t="str">
        <f>'预评函-封皮'!B40</f>
        <v>北京创合丰威房地产开发有限公司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康正预评字2018-1-0866-P02DYGJ1号</v>
      </c>
    </row>
    <row r="6" spans="1:2" s="1590" customFormat="1" ht="15" thickTop="1">
      <c r="A6" s="1588" t="s">
        <v>1220</v>
      </c>
      <c r="B6" s="1589" t="str">
        <f>'预评函-1'!A4</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7" spans="1:2" s="1593" customFormat="1">
      <c r="A7" s="1591" t="s">
        <v>1260</v>
      </c>
      <c r="B7" s="1592" t="str">
        <f>'预评函-1'!A7</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为估价委托人在向中国工商银行股份有限公司北京王府井支行办理贷款手续过程中，确定房地产抵押贷款额度提供参考依据而评估房地产抵押价值。</v>
      </c>
    </row>
    <row r="12" spans="1:2" s="1593" customFormat="1">
      <c r="A12" s="1591" t="s">
        <v>1222</v>
      </c>
      <c r="B12" s="1592" t="str">
        <f>'预评函-1'!A15</f>
        <v>2018年12月5日（评估专业人员实地查勘之日）</v>
      </c>
    </row>
    <row r="13" spans="1:2" s="1593" customFormat="1">
      <c r="A13" s="1591" t="s">
        <v>1223</v>
      </c>
      <c r="B13" s="1592" t="str">
        <f>'预评函-1'!A18</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4" spans="1:2" s="1593" customFormat="1">
      <c r="A14" s="1591" t="s">
        <v>1224</v>
      </c>
      <c r="B14" s="1592" t="str">
        <f>'预评函-1'!A19</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98012</v>
      </c>
    </row>
    <row r="21" spans="1:2" s="1593" customFormat="1">
      <c r="A21" s="1591" t="s">
        <v>1231</v>
      </c>
      <c r="B21" s="1592">
        <f ca="1">'预评函-2'!D7</f>
        <v>8712</v>
      </c>
    </row>
    <row r="22" spans="1:2" s="1593" customFormat="1">
      <c r="A22" s="1591" t="s">
        <v>1232</v>
      </c>
      <c r="B22" s="1592" t="str">
        <f ca="1">'预评函-2'!D6</f>
        <v>玖亿捌仟零壹拾贰万元整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98012</v>
      </c>
    </row>
    <row r="35" spans="1:2" s="1593" customFormat="1">
      <c r="A35" s="1591" t="s">
        <v>1271</v>
      </c>
      <c r="B35" s="1592">
        <f ca="1">'预评函-2'!D18</f>
        <v>8712</v>
      </c>
    </row>
    <row r="36" spans="1:2" s="1593" customFormat="1">
      <c r="A36" s="1591" t="s">
        <v>1238</v>
      </c>
      <c r="B36" s="1592" t="str">
        <f ca="1">'预评函-2'!D17</f>
        <v>玖亿捌仟零壹拾贰万元整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42" spans="1:2" s="1593" customFormat="1">
      <c r="A42" s="1591" t="s">
        <v>1284</v>
      </c>
      <c r="B42" s="1592" t="str">
        <f>'预评函-3'!B2</f>
        <v>建筑面积</v>
      </c>
    </row>
    <row r="43" spans="1:2" s="1593" customFormat="1">
      <c r="A43" s="1591" t="s">
        <v>1285</v>
      </c>
      <c r="B43" s="1592">
        <f>'预评函-3'!B4</f>
        <v>112500.81000000001</v>
      </c>
    </row>
    <row r="44" spans="1:2" s="1593" customFormat="1">
      <c r="A44" s="1591" t="s">
        <v>1269</v>
      </c>
      <c r="B44" s="1592" t="str">
        <f>'预评函-3'!C2</f>
        <v>(分摊)土地面积</v>
      </c>
    </row>
    <row r="45" spans="1:2" s="1593" customFormat="1">
      <c r="A45" s="1591" t="s">
        <v>1241</v>
      </c>
      <c r="B45" s="1592">
        <f>'预评函-3'!C4</f>
        <v>24393.62</v>
      </c>
    </row>
    <row r="46" spans="1:2" s="1593" customFormat="1">
      <c r="A46" s="1591" t="s">
        <v>1267</v>
      </c>
      <c r="B46" s="1592" t="str">
        <f>'预评函-3'!D2</f>
        <v>出让国有建设用地使用权价值</v>
      </c>
    </row>
    <row r="47" spans="1:2" s="1593" customFormat="1">
      <c r="A47" s="1591" t="s">
        <v>1242</v>
      </c>
      <c r="B47" s="1592">
        <f ca="1">'预评函-3'!D4</f>
        <v>42635</v>
      </c>
    </row>
    <row r="48" spans="1:2" s="1593" customFormat="1">
      <c r="A48" s="1591" t="s">
        <v>1243</v>
      </c>
      <c r="B48" s="1592">
        <f ca="1">'预评函-3'!E4</f>
        <v>3790</v>
      </c>
    </row>
    <row r="49" spans="1:2" s="1593" customFormat="1">
      <c r="A49" s="1591" t="s">
        <v>1244</v>
      </c>
      <c r="B49" s="1592" t="str">
        <f ca="1">'预评函-3'!D5</f>
        <v>肆亿贰仟陆佰叁拾伍万元整</v>
      </c>
    </row>
    <row r="50" spans="1:2" s="1593" customFormat="1">
      <c r="A50" s="1591" t="s">
        <v>1268</v>
      </c>
      <c r="B50" s="1592" t="str">
        <f>'预评函-3'!F2</f>
        <v>在建建筑物价值</v>
      </c>
    </row>
    <row r="51" spans="1:2" s="1593" customFormat="1">
      <c r="A51" s="1591" t="s">
        <v>1245</v>
      </c>
      <c r="B51" s="1592">
        <f ca="1">'预评函-3'!F4</f>
        <v>55377</v>
      </c>
    </row>
    <row r="52" spans="1:2" s="1593" customFormat="1">
      <c r="A52" s="1591" t="s">
        <v>1246</v>
      </c>
      <c r="B52" s="1592">
        <f ca="1">'预评函-3'!G4</f>
        <v>4922</v>
      </c>
    </row>
    <row r="53" spans="1:2" s="1593" customFormat="1">
      <c r="A53" s="1591" t="s">
        <v>1274</v>
      </c>
      <c r="B53" s="1592" t="str">
        <f ca="1">'预评函-3'!F5</f>
        <v>伍亿伍仟叁佰柒拾柒万元整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（1）根据估价对象《国有土地使用证》复印件、《不动产权证书》复印件，截至价值时点，估价对象抵押权未见登记。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AF31" sqref="AF3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3142</v>
      </c>
      <c r="C17" s="2015"/>
    </row>
    <row r="18" spans="1:3">
      <c r="A18" s="2014" t="s">
        <v>1763</v>
      </c>
      <c r="B18" s="2014" t="s">
        <v>3144</v>
      </c>
      <c r="C18" s="2015"/>
    </row>
    <row r="19" spans="1:3">
      <c r="A19" s="2014" t="s">
        <v>1764</v>
      </c>
      <c r="B19" s="2014" t="s">
        <v>3146</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通州区国家环保产业园区科研用地D地块南区珠江逸景科技园项目研发、地下研发、地下车库用房分摊的出让国有建设用地使用权及在建建筑物房地产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2" t="s">
        <v>861</v>
      </c>
      <c r="C54" s="2019" t="s">
        <v>1277</v>
      </c>
    </row>
    <row r="55" spans="1:4">
      <c r="A55" s="3014"/>
      <c r="B55" s="2022" t="s">
        <v>862</v>
      </c>
      <c r="C55" s="2019" t="s">
        <v>1278</v>
      </c>
    </row>
    <row r="56" spans="1:4">
      <c r="A56" s="3014"/>
      <c r="B56" s="2022" t="s">
        <v>863</v>
      </c>
      <c r="C56" s="2019" t="s">
        <v>1282</v>
      </c>
    </row>
    <row r="57" spans="1:4">
      <c r="A57" s="301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15" t="str">
        <f>IF(B10="北京市","北京市",C10)&amp;F10&amp;IF(结果表!G1="在建","出让国有建设用地使用权及在建建筑物",IF(结果表!G1="土地","出让国有建设用地使用权",))&amp;B9&amp;"预评估"</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v>
      </c>
    </row>
    <row r="2" spans="1:19" ht="18" customHeight="1">
      <c r="A2" s="2026" t="s">
        <v>1773</v>
      </c>
      <c r="B2" s="1039" t="s">
        <v>3202</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3" spans="1:19" ht="18" customHeight="1">
      <c r="A3" s="2035" t="s">
        <v>1774</v>
      </c>
      <c r="B3" s="2036">
        <v>43439</v>
      </c>
      <c r="C3" s="2037" t="s">
        <v>1775</v>
      </c>
      <c r="D3" s="2036">
        <f>B3</f>
        <v>43439</v>
      </c>
      <c r="E3" s="2026"/>
      <c r="F3" s="2026"/>
      <c r="G3" s="2026"/>
      <c r="H3" s="2026"/>
      <c r="I3" s="2026"/>
      <c r="J3" s="2026"/>
      <c r="K3" s="2027"/>
      <c r="L3" s="2028"/>
      <c r="M3" s="2028"/>
      <c r="N3" s="2029"/>
      <c r="O3" s="2030"/>
      <c r="P3" s="2029"/>
      <c r="Q3" s="2029"/>
      <c r="R3" s="2029"/>
      <c r="S3" s="2031"/>
    </row>
    <row r="4" spans="1:19" ht="18" customHeight="1" thickBot="1">
      <c r="A4" s="2038" t="s">
        <v>1776</v>
      </c>
      <c r="B4" s="2039" t="s">
        <v>3042</v>
      </c>
      <c r="C4" s="1037">
        <f ca="1">SUMIF(注册房地产估价师,B4,估价师及机构信息!B3:B24)</f>
        <v>1120000080</v>
      </c>
      <c r="D4" s="2039" t="s">
        <v>3043</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1777</v>
      </c>
      <c r="B5" s="2947" t="s">
        <v>3189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48" t="s">
        <v>3046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051"/>
      <c r="C7" s="2048"/>
      <c r="D7" s="2049"/>
      <c r="E7" s="2034"/>
      <c r="F7" s="2042"/>
      <c r="G7" s="2042"/>
      <c r="H7" s="2042"/>
      <c r="I7" s="2042"/>
      <c r="J7" s="2042"/>
      <c r="K7" s="2052"/>
      <c r="L7" s="2028"/>
      <c r="M7" s="2028"/>
      <c r="N7" s="2029"/>
      <c r="O7" s="2030"/>
      <c r="P7" s="2029"/>
      <c r="Q7" s="2029"/>
      <c r="R7" s="2029"/>
    </row>
    <row r="8" spans="1:19" ht="18" customHeight="1">
      <c r="A8" s="2047" t="s">
        <v>1780</v>
      </c>
      <c r="B8" s="2053" t="s">
        <v>3044</v>
      </c>
      <c r="C8" s="2054"/>
      <c r="D8" s="3018" t="s">
        <v>1781</v>
      </c>
      <c r="E8" s="2055" t="s">
        <v>3200</v>
      </c>
      <c r="F8" s="2056"/>
      <c r="G8" s="2026"/>
      <c r="H8" s="2026"/>
      <c r="I8" s="2026"/>
      <c r="J8" s="2042"/>
      <c r="K8" s="2043"/>
      <c r="L8" s="2028"/>
      <c r="M8" s="2028"/>
      <c r="N8" s="2029"/>
      <c r="O8" s="2030"/>
      <c r="P8" s="2029"/>
      <c r="Q8" s="2029"/>
      <c r="R8" s="2029"/>
    </row>
    <row r="9" spans="1:19" ht="18" customHeight="1" thickBot="1">
      <c r="A9" s="2040" t="s">
        <v>1782</v>
      </c>
      <c r="B9" s="2057" t="s">
        <v>3045</v>
      </c>
      <c r="C9" s="2058"/>
      <c r="D9" s="3019"/>
      <c r="E9" s="2057" t="s">
        <v>70</v>
      </c>
      <c r="F9" s="2059"/>
      <c r="G9" s="2060"/>
      <c r="H9" s="2060"/>
      <c r="I9" s="2060"/>
      <c r="J9" s="2042"/>
      <c r="K9" s="2052"/>
      <c r="L9" s="2028"/>
      <c r="M9" s="2028"/>
      <c r="N9" s="2029"/>
      <c r="O9" s="2030"/>
      <c r="P9" s="2029"/>
      <c r="Q9" s="2029"/>
      <c r="R9" s="2029"/>
    </row>
    <row r="10" spans="1:19" ht="18" customHeight="1" thickTop="1">
      <c r="A10" s="2061" t="s">
        <v>1783</v>
      </c>
      <c r="B10" s="2062" t="s">
        <v>3047</v>
      </c>
      <c r="C10" s="2063"/>
      <c r="D10" s="2046"/>
      <c r="E10" s="2064" t="s">
        <v>1784</v>
      </c>
      <c r="F10" s="2966" t="s">
        <v>3203</v>
      </c>
      <c r="G10" s="2065"/>
      <c r="H10" s="2066"/>
      <c r="I10" s="2046"/>
      <c r="J10" s="2042"/>
      <c r="K10" s="2052"/>
      <c r="L10" s="2028"/>
      <c r="M10" s="2028"/>
      <c r="N10" s="2029"/>
      <c r="O10" s="2030"/>
      <c r="P10" s="2029"/>
      <c r="Q10" s="2029"/>
      <c r="R10" s="2029"/>
    </row>
    <row r="11" spans="1:19" ht="18" customHeight="1">
      <c r="A11" s="2067" t="s">
        <v>1785</v>
      </c>
      <c r="B11" s="2068" t="s">
        <v>3049</v>
      </c>
      <c r="C11" s="2069" t="str">
        <f>B5</f>
        <v>北京创合丰威房地产开发有限公司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8" t="s">
        <v>3048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v>53688</v>
      </c>
      <c r="F13" s="2077">
        <v>57341</v>
      </c>
      <c r="G13" s="2077">
        <v>57341</v>
      </c>
      <c r="H13" s="2077">
        <v>57341</v>
      </c>
      <c r="I13" s="1047"/>
      <c r="J13" s="2042"/>
      <c r="K13" s="2052"/>
      <c r="L13" s="2028"/>
      <c r="M13" s="2028"/>
      <c r="N13" s="2029"/>
      <c r="O13" s="2030"/>
      <c r="P13" s="2029"/>
      <c r="Q13" s="2029"/>
      <c r="R13" s="2029"/>
    </row>
    <row r="14" spans="1:19" ht="18" customHeight="1">
      <c r="A14" s="2074"/>
      <c r="B14" s="2075"/>
      <c r="C14" s="2076" t="s">
        <v>1795</v>
      </c>
      <c r="D14" s="1050"/>
      <c r="E14" s="1050">
        <v>40</v>
      </c>
      <c r="F14" s="1050">
        <v>50</v>
      </c>
      <c r="G14" s="1050">
        <v>50</v>
      </c>
      <c r="H14" s="1050">
        <v>50</v>
      </c>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f>IF(B12="出让",IF(E13="","",ROUNDDOWN(MIN((E13-$D$3)/365,E14),2)),E14)</f>
        <v>28.07</v>
      </c>
      <c r="F15" s="1049">
        <f>IF(B12="出让",IF(F13="","",ROUNDDOWN(MIN((F13-$D$3)/365,F14),2)),F14)</f>
        <v>38.08</v>
      </c>
      <c r="G15" s="1049">
        <f>IF(B12="出让",IF(G13="","",ROUNDDOWN(MIN((G13-$D$3)/365,G14),2)),G14)</f>
        <v>38.08</v>
      </c>
      <c r="H15" s="1049">
        <f>IF(B12="出让",IF(H13="","",ROUNDDOWN(MIN((H13-$D$3)/365,H14),2)),H14)</f>
        <v>38.08</v>
      </c>
      <c r="I15" s="1049" t="str">
        <f>IF(B12="出让",IF(I13="","",ROUNDDOWN(MIN((I13-$D$3)/365,I14),2)),I14)</f>
        <v/>
      </c>
      <c r="J15" s="2042"/>
      <c r="K15" s="2080"/>
      <c r="L15" s="2081"/>
      <c r="M15" s="2081"/>
      <c r="N15" s="2082"/>
      <c r="O15" s="2081"/>
      <c r="P15" s="2082"/>
      <c r="Q15" s="2029"/>
      <c r="R15" s="2029"/>
    </row>
    <row r="16" spans="1:19" ht="30.75" customHeight="1">
      <c r="A16" s="2064" t="s">
        <v>1797</v>
      </c>
      <c r="B16" s="3025" t="s">
        <v>3050</v>
      </c>
      <c r="C16" s="3026"/>
      <c r="D16" s="3027"/>
      <c r="E16" s="2083" t="s">
        <v>1798</v>
      </c>
      <c r="F16" s="3028" t="s">
        <v>3051</v>
      </c>
      <c r="G16" s="3029"/>
      <c r="H16" s="3029"/>
      <c r="I16" s="3030"/>
      <c r="J16" s="2029"/>
      <c r="K16" s="2080"/>
      <c r="L16" s="2081"/>
      <c r="M16" s="2081"/>
      <c r="N16" s="2082"/>
      <c r="O16" s="2081"/>
      <c r="P16" s="2082"/>
      <c r="Q16" s="2029"/>
      <c r="R16" s="2029"/>
    </row>
    <row r="17" spans="1:22" ht="18" customHeight="1">
      <c r="A17" s="2084" t="s">
        <v>1799</v>
      </c>
      <c r="B17" s="2035" t="s">
        <v>1800</v>
      </c>
      <c r="C17" s="1054">
        <f>'数据-汇总表'!E3</f>
        <v>112500.81000000001</v>
      </c>
      <c r="D17" s="2085" t="s">
        <v>1801</v>
      </c>
      <c r="E17" s="3031" t="s">
        <v>3201</v>
      </c>
      <c r="F17" s="3032"/>
      <c r="G17" s="3032"/>
      <c r="H17" s="3032"/>
      <c r="I17" s="3033"/>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24393.62</v>
      </c>
      <c r="D18" s="2088" t="s">
        <v>1801</v>
      </c>
      <c r="E18" s="3034" t="s">
        <v>3199</v>
      </c>
      <c r="F18" s="3035"/>
      <c r="G18" s="3035"/>
      <c r="H18" s="3035"/>
      <c r="I18" s="3036"/>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t="s">
        <v>3053</v>
      </c>
      <c r="D19" s="2090" t="s">
        <v>1806</v>
      </c>
      <c r="E19" s="2091"/>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1807</v>
      </c>
      <c r="B20" s="3021" t="s">
        <v>1808</v>
      </c>
      <c r="C20" s="3022"/>
      <c r="D20" s="3023" t="s">
        <v>1809</v>
      </c>
      <c r="E20" s="3024"/>
      <c r="F20" s="2095" t="s">
        <v>1810</v>
      </c>
      <c r="G20" s="2042"/>
      <c r="H20" s="2042"/>
      <c r="I20" s="2042"/>
      <c r="J20" s="2042"/>
      <c r="K20" s="3020" t="s">
        <v>1811</v>
      </c>
      <c r="L20" s="748" t="str">
        <f>"根据估价对象"&amp;IF(B22="——",B21&amp;C21,B21&amp;C21&amp;"、"&amp;B22&amp;C22)&amp;"，"&amp;IF(C19="是","截至价值时点，估价对象已设定抵押。","截至价值时点，估价对象抵押权未见登记。")</f>
        <v>根据估价对象《国有土地使用证》复印件、《不动产权证书》复印件，截至价值时点，估价对象抵押权未见登记。</v>
      </c>
      <c r="M20" s="2028"/>
      <c r="N20" s="2082"/>
      <c r="O20" s="2081"/>
      <c r="P20" s="2082"/>
      <c r="Q20" s="2029"/>
      <c r="R20" s="2029"/>
      <c r="S20" s="2029"/>
      <c r="T20" s="2029"/>
      <c r="U20" s="2029"/>
      <c r="V20" s="2029"/>
    </row>
    <row r="21" spans="1:22" ht="24.75" customHeight="1">
      <c r="A21" s="2094"/>
      <c r="B21" s="2096" t="s">
        <v>3054</v>
      </c>
      <c r="C21" s="2097" t="s">
        <v>3056</v>
      </c>
      <c r="D21" s="2098" t="s">
        <v>1813</v>
      </c>
      <c r="E21" s="2099" t="s">
        <v>1812</v>
      </c>
      <c r="F21" s="2100"/>
      <c r="G21" s="2042"/>
      <c r="H21" s="2042"/>
      <c r="I21" s="2042"/>
      <c r="J21" s="2042"/>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3055</v>
      </c>
      <c r="C22" s="2097" t="s">
        <v>1814</v>
      </c>
      <c r="D22" s="2026"/>
      <c r="E22" s="2026"/>
      <c r="F22" s="2102"/>
      <c r="G22" s="2042"/>
      <c r="H22" s="2042"/>
      <c r="I22" s="2042"/>
      <c r="J22" s="2042"/>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1815</v>
      </c>
      <c r="B23" s="183" t="s">
        <v>1816</v>
      </c>
      <c r="C23" s="2104"/>
      <c r="D23" s="2105" t="s">
        <v>1816</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1817</v>
      </c>
      <c r="C24" s="2109"/>
      <c r="D24" s="2103" t="s">
        <v>1817</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1818</v>
      </c>
      <c r="C25" s="2109"/>
      <c r="D25" s="2103" t="s">
        <v>1818</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1819</v>
      </c>
      <c r="C26" s="2113"/>
      <c r="D26" s="2114" t="s">
        <v>1820</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38" t="s">
        <v>1821</v>
      </c>
      <c r="B27" s="2061" t="s">
        <v>1822</v>
      </c>
      <c r="C27" s="2117" t="s">
        <v>3058</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38"/>
      <c r="B28" s="2035" t="s">
        <v>1823</v>
      </c>
      <c r="C28" s="2119" t="s">
        <v>3057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38"/>
      <c r="B29" s="2035" t="s">
        <v>1824</v>
      </c>
      <c r="C29" s="2122" t="s">
        <v>3053</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39"/>
      <c r="B30" s="2035" t="s">
        <v>1825</v>
      </c>
      <c r="C30" s="3040"/>
      <c r="D30" s="3041"/>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42" t="s">
        <v>1826</v>
      </c>
      <c r="B31" s="2124" t="s">
        <v>3059</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43"/>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43"/>
      <c r="B33" s="2128"/>
      <c r="C33" s="2067"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1827</v>
      </c>
      <c r="B34" s="2131" t="s">
        <v>3060</v>
      </c>
      <c r="C34" s="2131" t="s">
        <v>3061</v>
      </c>
      <c r="D34" s="2131" t="s">
        <v>3062</v>
      </c>
      <c r="E34" s="2131" t="s">
        <v>3063</v>
      </c>
      <c r="F34" s="2131" t="s">
        <v>3064</v>
      </c>
      <c r="G34" s="2131"/>
      <c r="H34" s="2131"/>
      <c r="I34" s="2042"/>
      <c r="J34" s="2042"/>
      <c r="K34" s="1795">
        <f>COUNTIF(B34:H34,"——")</f>
        <v>0</v>
      </c>
      <c r="L34" s="2072" t="s">
        <v>1828</v>
      </c>
      <c r="M34" s="2072" t="s">
        <v>1829</v>
      </c>
      <c r="N34" s="2072" t="s">
        <v>1830</v>
      </c>
      <c r="O34" s="2072" t="s">
        <v>1831</v>
      </c>
      <c r="P34" s="2072" t="s">
        <v>1832</v>
      </c>
      <c r="Q34" s="2072" t="s">
        <v>1833</v>
      </c>
      <c r="R34" s="2072" t="s">
        <v>1834</v>
      </c>
      <c r="S34" s="3037" t="s">
        <v>1835</v>
      </c>
      <c r="T34" s="2132" t="str">
        <f>NUMBERSTRING(7-K34,1)&amp;"通"</f>
        <v>七通</v>
      </c>
      <c r="U34" s="2029"/>
      <c r="V34" s="2029"/>
    </row>
    <row r="35" spans="1:22" ht="18" customHeight="1">
      <c r="A35" s="2133"/>
      <c r="B35" s="3044" t="s">
        <v>1836</v>
      </c>
      <c r="C35" s="3044"/>
      <c r="D35" s="3044"/>
      <c r="E35" s="3044"/>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7"/>
      <c r="T35" s="48" t="str">
        <f>IF(T34="一通",L35,IF(T34="二通",M35,IF(T34="三通",N35,IF(T34="四通",O35,IF(T34="五通",P35,IF(T34="六通",Q35,R35))))))</f>
        <v>通路、通电、通讯、通上水、通下水、、</v>
      </c>
      <c r="U35" s="2029"/>
      <c r="V35" s="2029"/>
    </row>
    <row r="36" spans="1:22" ht="18" customHeight="1">
      <c r="A36" s="2135"/>
      <c r="B36" s="2134" t="s">
        <v>1837</v>
      </c>
      <c r="C36" s="2134" t="s">
        <v>1838</v>
      </c>
      <c r="D36" s="2134" t="s">
        <v>1839</v>
      </c>
      <c r="E36" s="2134" t="s">
        <v>1840</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1841</v>
      </c>
      <c r="B37" s="2138" t="s">
        <v>530</v>
      </c>
      <c r="C37" s="2138" t="s">
        <v>530</v>
      </c>
      <c r="D37" s="2138" t="s">
        <v>530</v>
      </c>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1842</v>
      </c>
      <c r="B38" s="2140" t="s">
        <v>3065</v>
      </c>
      <c r="C38" s="2140" t="s">
        <v>3065</v>
      </c>
      <c r="D38" s="2140" t="s">
        <v>3065</v>
      </c>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1844</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7" customWidth="1"/>
    <col min="2" max="2" width="11" style="2157" customWidth="1"/>
    <col min="3" max="3" width="12.8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3" width="9.5" style="2157" customWidth="1"/>
    <col min="34" max="35" width="9.5" style="2157" hidden="1" customWidth="1"/>
    <col min="36"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67590.27</v>
      </c>
      <c r="B3" s="14">
        <f>IF(C3="否",G5-AT5,G5)</f>
        <v>311719.18</v>
      </c>
      <c r="C3" s="2166" t="s">
        <v>3052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3"/>
      <c r="C5" s="1803"/>
      <c r="D5" s="1806"/>
      <c r="E5" s="16" t="s">
        <v>1</v>
      </c>
      <c r="F5" s="16">
        <f>SUM(F13:F587)</f>
        <v>0</v>
      </c>
      <c r="G5" s="16">
        <f>SUM(G13:G587)</f>
        <v>311719.18</v>
      </c>
      <c r="H5" s="16">
        <f t="shared" ref="H5:AT5" si="0">SUM(H13:H656)</f>
        <v>293217.65999999997</v>
      </c>
      <c r="I5" s="16">
        <f t="shared" si="0"/>
        <v>257220.77999999997</v>
      </c>
      <c r="J5" s="16">
        <f t="shared" si="0"/>
        <v>0</v>
      </c>
      <c r="K5" s="16">
        <f t="shared" si="0"/>
        <v>17400.73</v>
      </c>
      <c r="L5" s="16">
        <f t="shared" si="0"/>
        <v>0</v>
      </c>
      <c r="M5" s="16">
        <f t="shared" si="0"/>
        <v>18596.150000000001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15160.770000000002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1162.1800000000003</v>
      </c>
      <c r="AM5" s="16">
        <f t="shared" si="0"/>
        <v>0</v>
      </c>
      <c r="AN5" s="16">
        <f t="shared" si="0"/>
        <v>13998.590000000004</v>
      </c>
      <c r="AO5" s="16">
        <f t="shared" si="0"/>
        <v>0</v>
      </c>
      <c r="AP5" s="16">
        <f t="shared" si="0"/>
        <v>0</v>
      </c>
      <c r="AQ5" s="16">
        <f t="shared" si="0"/>
        <v>0</v>
      </c>
      <c r="AR5" s="16">
        <f t="shared" si="0"/>
        <v>0</v>
      </c>
      <c r="AS5" s="16">
        <f t="shared" si="0"/>
        <v>0</v>
      </c>
      <c r="AT5" s="16">
        <f t="shared" si="0"/>
        <v>3340.75</v>
      </c>
      <c r="AU5" s="1802"/>
      <c r="AV5" s="15" t="s">
        <v>1871</v>
      </c>
      <c r="AW5" s="1803"/>
      <c r="AX5" s="1803"/>
      <c r="AY5" s="17" t="s">
        <v>3</v>
      </c>
      <c r="AZ5" s="18">
        <f t="shared" ref="AZ5:BT5" si="1">SUM(AZ13:AZ656)</f>
        <v>112500.81000000001</v>
      </c>
      <c r="BA5" s="18">
        <f t="shared" si="1"/>
        <v>107184.22</v>
      </c>
      <c r="BB5" s="18">
        <f t="shared" si="1"/>
        <v>82874.320000000007</v>
      </c>
      <c r="BC5" s="18">
        <f t="shared" si="1"/>
        <v>5713.75</v>
      </c>
      <c r="BD5" s="18">
        <f t="shared" si="1"/>
        <v>18596.150000000001</v>
      </c>
      <c r="BE5" s="18">
        <f t="shared" si="1"/>
        <v>0</v>
      </c>
      <c r="BF5" s="18">
        <f t="shared" si="1"/>
        <v>0</v>
      </c>
      <c r="BG5" s="18">
        <f t="shared" si="1"/>
        <v>0</v>
      </c>
      <c r="BH5" s="18">
        <f t="shared" si="1"/>
        <v>0</v>
      </c>
      <c r="BI5" s="18">
        <f t="shared" si="1"/>
        <v>0</v>
      </c>
      <c r="BJ5" s="18">
        <f t="shared" si="1"/>
        <v>0</v>
      </c>
      <c r="BK5" s="18">
        <f t="shared" si="1"/>
        <v>0</v>
      </c>
      <c r="BL5" s="18">
        <f t="shared" si="1"/>
        <v>5316.59</v>
      </c>
      <c r="BM5" s="18">
        <f t="shared" si="1"/>
        <v>0</v>
      </c>
      <c r="BN5" s="18">
        <f t="shared" si="1"/>
        <v>0</v>
      </c>
      <c r="BO5" s="18">
        <f t="shared" si="1"/>
        <v>0</v>
      </c>
      <c r="BP5" s="18">
        <f t="shared" si="1"/>
        <v>0</v>
      </c>
      <c r="BQ5" s="18">
        <f t="shared" si="1"/>
        <v>0</v>
      </c>
      <c r="BR5" s="18">
        <f t="shared" si="1"/>
        <v>5316.59</v>
      </c>
      <c r="BS5" s="18">
        <f t="shared" si="1"/>
        <v>0</v>
      </c>
      <c r="BT5" s="19">
        <f t="shared" si="1"/>
        <v>0</v>
      </c>
    </row>
    <row r="6" spans="1:72" s="2175" customFormat="1" ht="12.75">
      <c r="A6" s="15" t="s">
        <v>1872</v>
      </c>
      <c r="B6" s="2172"/>
      <c r="C6" s="2172"/>
      <c r="D6" s="2173"/>
      <c r="E6" s="16">
        <f>H6+AC6+AT6</f>
        <v>67590.280000000013</v>
      </c>
      <c r="F6" s="16" t="s">
        <v>1</v>
      </c>
      <c r="G6" s="16" t="s">
        <v>2</v>
      </c>
      <c r="H6" s="20">
        <f>SUMIF(I$12:AB$12,"总值",I6:AB6)</f>
        <v>63578.58</v>
      </c>
      <c r="I6" s="16">
        <f t="shared" ref="I6:AB6" si="2">ROUND($A$3*I5/$B$3,2)</f>
        <v>55773.35</v>
      </c>
      <c r="J6" s="16">
        <f t="shared" si="2"/>
        <v>0</v>
      </c>
      <c r="K6" s="16">
        <f t="shared" si="2"/>
        <v>3773.01</v>
      </c>
      <c r="L6" s="16">
        <f t="shared" si="2"/>
        <v>0</v>
      </c>
      <c r="M6" s="16">
        <f t="shared" si="2"/>
        <v>4032.22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3287.32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252</v>
      </c>
      <c r="AM6" s="16">
        <f t="shared" si="3"/>
        <v>0</v>
      </c>
      <c r="AN6" s="16">
        <f t="shared" si="3"/>
        <v>3035.32</v>
      </c>
      <c r="AO6" s="16">
        <f t="shared" si="3"/>
        <v>0</v>
      </c>
      <c r="AP6" s="16">
        <f t="shared" si="3"/>
        <v>0</v>
      </c>
      <c r="AQ6" s="16">
        <f t="shared" si="3"/>
        <v>0</v>
      </c>
      <c r="AR6" s="16">
        <f t="shared" si="3"/>
        <v>0</v>
      </c>
      <c r="AS6" s="16">
        <f t="shared" si="3"/>
        <v>0</v>
      </c>
      <c r="AT6" s="20">
        <f>IF(C3="是",ROUND($A$3*AT5/$B$3,2),0)</f>
        <v>724.38</v>
      </c>
      <c r="AU6" s="2174"/>
      <c r="AV6" s="15" t="s">
        <v>1872</v>
      </c>
      <c r="AW6" s="2172"/>
      <c r="AX6" s="2172"/>
      <c r="AY6" s="21">
        <f>IF(AY3&gt;0,AY3,ROUND($A$3*AZ5/$B$3,2))</f>
        <v>24393.62</v>
      </c>
      <c r="AZ6" s="16" t="s">
        <v>3</v>
      </c>
      <c r="BA6" s="16">
        <f>ROUND($AY$6*BA5/$AZ$5,2)</f>
        <v>23240.82</v>
      </c>
      <c r="BB6" s="16">
        <f>ROUND($AY$6*BB5/$AZ$5,2)</f>
        <v>17969.689999999999</v>
      </c>
      <c r="BC6" s="16">
        <f t="shared" ref="BC6:BH6" si="4">ROUND($AY$6*BC5/$AZ$5,2)</f>
        <v>1238.92</v>
      </c>
      <c r="BD6" s="16">
        <f t="shared" si="4"/>
        <v>4032.21</v>
      </c>
      <c r="BE6" s="16">
        <f t="shared" si="4"/>
        <v>0</v>
      </c>
      <c r="BF6" s="16">
        <f t="shared" si="4"/>
        <v>0</v>
      </c>
      <c r="BG6" s="16">
        <f t="shared" si="4"/>
        <v>0</v>
      </c>
      <c r="BH6" s="16">
        <f t="shared" si="4"/>
        <v>0</v>
      </c>
      <c r="BI6" s="16">
        <f t="shared" ref="BI6:BT6" si="5">ROUND($AY$6*BI5/$AZ$5,2)</f>
        <v>0</v>
      </c>
      <c r="BJ6" s="16">
        <f t="shared" si="5"/>
        <v>0</v>
      </c>
      <c r="BK6" s="16">
        <f t="shared" si="5"/>
        <v>0</v>
      </c>
      <c r="BL6" s="16">
        <f t="shared" si="5"/>
        <v>1152.8</v>
      </c>
      <c r="BM6" s="16">
        <f t="shared" si="5"/>
        <v>0</v>
      </c>
      <c r="BN6" s="16">
        <f t="shared" si="5"/>
        <v>0</v>
      </c>
      <c r="BO6" s="16">
        <f t="shared" si="5"/>
        <v>0</v>
      </c>
      <c r="BP6" s="16">
        <f t="shared" si="5"/>
        <v>0</v>
      </c>
      <c r="BQ6" s="16">
        <f t="shared" si="5"/>
        <v>0</v>
      </c>
      <c r="BR6" s="16">
        <f t="shared" si="5"/>
        <v>1152.8</v>
      </c>
      <c r="BS6" s="16">
        <f t="shared" si="5"/>
        <v>0</v>
      </c>
      <c r="BT6" s="22">
        <f t="shared" si="5"/>
        <v>0</v>
      </c>
    </row>
    <row r="7" spans="1:72" s="2165" customFormat="1" ht="24.75">
      <c r="A7" s="2107" t="s">
        <v>1873</v>
      </c>
      <c r="B7" s="2107" t="s">
        <v>1874</v>
      </c>
      <c r="C7" s="2107" t="s">
        <v>1875</v>
      </c>
      <c r="D7" s="2107" t="s">
        <v>1876</v>
      </c>
      <c r="E7" s="2107" t="s">
        <v>1877</v>
      </c>
      <c r="F7" s="2107"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1880</v>
      </c>
      <c r="AV7" s="23" t="s">
        <v>1881</v>
      </c>
      <c r="AW7" s="2164" t="s">
        <v>1882</v>
      </c>
      <c r="AX7" s="23" t="s">
        <v>1875</v>
      </c>
      <c r="AY7" s="1803"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18"/>
      <c r="K8" s="1818"/>
      <c r="L8" s="1818"/>
      <c r="M8" s="1818"/>
      <c r="N8" s="1818"/>
      <c r="O8" s="1818"/>
      <c r="P8" s="1818"/>
      <c r="Q8" s="1818"/>
      <c r="R8" s="1818"/>
      <c r="S8" s="1818"/>
      <c r="T8" s="1818"/>
      <c r="U8" s="1818"/>
      <c r="V8" s="2184"/>
      <c r="W8" s="1818"/>
      <c r="X8" s="1818"/>
      <c r="Y8" s="1818"/>
      <c r="Z8" s="1818"/>
      <c r="AA8" s="2184"/>
      <c r="AB8" s="2185"/>
      <c r="AC8" s="981" t="s">
        <v>1886</v>
      </c>
      <c r="AD8" s="2186"/>
      <c r="AE8" s="2178"/>
      <c r="AF8" s="1818"/>
      <c r="AG8" s="1818"/>
      <c r="AH8" s="1818"/>
      <c r="AI8" s="1818"/>
      <c r="AJ8" s="1818"/>
      <c r="AK8" s="1818"/>
      <c r="AL8" s="1818"/>
      <c r="AM8" s="1818"/>
      <c r="AN8" s="1818"/>
      <c r="AO8" s="1818"/>
      <c r="AP8" s="1818"/>
      <c r="AQ8" s="1818"/>
      <c r="AR8" s="1818"/>
      <c r="AS8" s="1818"/>
      <c r="AT8" s="1292" t="s">
        <v>1887</v>
      </c>
      <c r="AU8" s="2180" t="s">
        <v>1888</v>
      </c>
      <c r="AV8" s="1292"/>
      <c r="AW8" s="2163"/>
      <c r="AX8" s="1292"/>
      <c r="AY8" s="2164"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1891</v>
      </c>
      <c r="I9" s="2189" t="s">
        <v>3067</v>
      </c>
      <c r="J9" s="981"/>
      <c r="K9" s="2189" t="s">
        <v>3069</v>
      </c>
      <c r="L9" s="981"/>
      <c r="M9" s="2189" t="s">
        <v>3069</v>
      </c>
      <c r="N9" s="981"/>
      <c r="O9" s="2189"/>
      <c r="P9" s="981"/>
      <c r="Q9" s="2189"/>
      <c r="R9" s="981"/>
      <c r="S9" s="2189"/>
      <c r="T9" s="981"/>
      <c r="U9" s="2189"/>
      <c r="V9" s="981"/>
      <c r="W9" s="2189"/>
      <c r="X9" s="2190"/>
      <c r="Y9" s="2189"/>
      <c r="Z9" s="981"/>
      <c r="AA9" s="2189"/>
      <c r="AB9" s="981"/>
      <c r="AC9" s="218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1"/>
      <c r="AT9" s="2180"/>
      <c r="AU9" s="2180" t="s">
        <v>1894</v>
      </c>
      <c r="AV9" s="1292"/>
      <c r="AW9" s="2163"/>
      <c r="AX9" s="1292"/>
      <c r="AY9" s="28"/>
      <c r="AZ9" s="28" t="s">
        <v>1884</v>
      </c>
      <c r="BA9" s="2192" t="s">
        <v>1895</v>
      </c>
      <c r="BB9" s="2193"/>
      <c r="BC9" s="1338"/>
      <c r="BD9" s="1338"/>
      <c r="BE9" s="1338"/>
      <c r="BF9" s="1338"/>
      <c r="BG9" s="1338"/>
      <c r="BH9" s="1338"/>
      <c r="BI9" s="1338"/>
      <c r="BJ9" s="1338"/>
      <c r="BK9" s="2194"/>
      <c r="BL9" s="15" t="s">
        <v>1896</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27</v>
      </c>
      <c r="L10" s="981"/>
      <c r="M10" s="2195" t="s">
        <v>3070</v>
      </c>
      <c r="N10" s="981"/>
      <c r="O10" s="2195"/>
      <c r="P10" s="981"/>
      <c r="Q10" s="2195"/>
      <c r="R10" s="981"/>
      <c r="S10" s="2195"/>
      <c r="T10" s="981"/>
      <c r="U10" s="2195"/>
      <c r="V10" s="981"/>
      <c r="W10" s="2195"/>
      <c r="X10" s="981"/>
      <c r="Y10" s="2195"/>
      <c r="Z10" s="981"/>
      <c r="AA10" s="2195"/>
      <c r="AB10" s="981"/>
      <c r="AC10" s="1292"/>
      <c r="AD10" s="15" t="s">
        <v>1897</v>
      </c>
      <c r="AE10" s="2196"/>
      <c r="AF10" s="15" t="s">
        <v>1897</v>
      </c>
      <c r="AG10" s="2196"/>
      <c r="AH10" s="15" t="s">
        <v>1898</v>
      </c>
      <c r="AI10" s="2196"/>
      <c r="AJ10" s="15" t="s">
        <v>1898</v>
      </c>
      <c r="AK10" s="2196"/>
      <c r="AL10" s="15" t="s">
        <v>1899</v>
      </c>
      <c r="AM10" s="1298"/>
      <c r="AN10" s="15" t="s">
        <v>1899</v>
      </c>
      <c r="AO10" s="1298"/>
      <c r="AP10" s="15" t="s">
        <v>1900</v>
      </c>
      <c r="AQ10" s="1298"/>
      <c r="AR10" s="15" t="s">
        <v>1900</v>
      </c>
      <c r="AS10" s="1298"/>
      <c r="AT10" s="2180"/>
      <c r="AU10" s="2180"/>
      <c r="AV10" s="1292"/>
      <c r="AW10" s="2163"/>
      <c r="AX10" s="1292"/>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3068</v>
      </c>
      <c r="J11" s="2201"/>
      <c r="K11" s="2200" t="s">
        <v>3068</v>
      </c>
      <c r="L11" s="2201"/>
      <c r="M11" s="2200" t="s">
        <v>3070</v>
      </c>
      <c r="N11" s="2201"/>
      <c r="O11" s="2200"/>
      <c r="P11" s="2201"/>
      <c r="Q11" s="2200"/>
      <c r="R11" s="2201"/>
      <c r="S11" s="2200"/>
      <c r="T11" s="2201"/>
      <c r="U11" s="2200"/>
      <c r="V11" s="2201"/>
      <c r="W11" s="2200"/>
      <c r="X11" s="2201"/>
      <c r="Y11" s="2200"/>
      <c r="Z11" s="2201"/>
      <c r="AA11" s="2200"/>
      <c r="AB11" s="2201"/>
      <c r="AC11" s="1292"/>
      <c r="AD11" s="2202" t="s">
        <v>1901</v>
      </c>
      <c r="AE11" s="1819"/>
      <c r="AF11" s="2202" t="s">
        <v>1901</v>
      </c>
      <c r="AG11" s="1819"/>
      <c r="AH11" s="2202" t="s">
        <v>1902</v>
      </c>
      <c r="AI11" s="2203"/>
      <c r="AJ11" s="2202" t="s">
        <v>1902</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7"/>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tr">
        <f>面积表!E31</f>
        <v>206#研发楼</v>
      </c>
      <c r="D13" s="2211" t="s">
        <v>3052</v>
      </c>
      <c r="E13" s="16">
        <f>IF($C$3="是",ROUND($A$3*G13/$B$3,2),ROUND($A$3*(G13-AT13)/$B$3,2))</f>
        <v>4021.46</v>
      </c>
      <c r="F13" s="32"/>
      <c r="G13" s="33">
        <f>H13+AC13+AT13</f>
        <v>18546.569999999996</v>
      </c>
      <c r="H13" s="20">
        <f>SUMIF(I$12:AB$12,"总值",I13:AB13)</f>
        <v>17511.539999999997</v>
      </c>
      <c r="I13" s="2212">
        <f>面积表!H31</f>
        <v>16392.169999999998</v>
      </c>
      <c r="J13" s="2212"/>
      <c r="K13" s="2212">
        <f>面积表!I31</f>
        <v>1119.3700000000001</v>
      </c>
      <c r="L13" s="2212"/>
      <c r="M13" s="2212"/>
      <c r="N13" s="2212"/>
      <c r="O13" s="2212"/>
      <c r="P13" s="2212"/>
      <c r="Q13" s="2212"/>
      <c r="R13" s="2212"/>
      <c r="S13" s="2212"/>
      <c r="T13" s="2212"/>
      <c r="U13" s="2212"/>
      <c r="V13" s="2212"/>
      <c r="W13" s="2212"/>
      <c r="X13" s="2212"/>
      <c r="Y13" s="2212"/>
      <c r="Z13" s="2212"/>
      <c r="AA13" s="2212"/>
      <c r="AB13" s="2212"/>
      <c r="AC13" s="16">
        <f>SUMIF(AD$12:AS$12,"总值",AD13:AS13)</f>
        <v>1035.03</v>
      </c>
      <c r="AD13" s="2213"/>
      <c r="AE13" s="2213"/>
      <c r="AF13" s="2213"/>
      <c r="AG13" s="2213"/>
      <c r="AH13" s="2213"/>
      <c r="AI13" s="2213"/>
      <c r="AJ13" s="2213"/>
      <c r="AK13" s="2213"/>
      <c r="AL13" s="2213">
        <f>面积表!L31</f>
        <v>0</v>
      </c>
      <c r="AM13" s="2213"/>
      <c r="AN13" s="2213">
        <f>面积表!M31</f>
        <v>1035.03</v>
      </c>
      <c r="AO13" s="2213"/>
      <c r="AP13" s="2213"/>
      <c r="AQ13" s="2213"/>
      <c r="AR13" s="2213"/>
      <c r="AS13" s="2213"/>
      <c r="AT13" s="2214"/>
      <c r="AU13" s="2215"/>
      <c r="AV13" s="11">
        <f t="shared" ref="AV13:AX17" si="6">A13</f>
        <v>0</v>
      </c>
      <c r="AW13" s="11">
        <f t="shared" si="6"/>
        <v>0</v>
      </c>
      <c r="AX13" s="11" t="str">
        <f t="shared" si="6"/>
        <v>206#研发楼</v>
      </c>
      <c r="AY13" s="1806">
        <f>ROUND($AY$6*AZ13/$AZ$5,2)</f>
        <v>4021.46</v>
      </c>
      <c r="AZ13" s="16">
        <f>BA13+BL13</f>
        <v>18546.569999999996</v>
      </c>
      <c r="BA13" s="16">
        <f>SUM(BB13:BK13)</f>
        <v>17511.539999999997</v>
      </c>
      <c r="BB13" s="16">
        <f>IF($D13="是",I13-J13,0)</f>
        <v>16392.169999999998</v>
      </c>
      <c r="BC13" s="16">
        <f>IF($D13="是",K13-L13,0)</f>
        <v>1119.3700000000001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1035.03</v>
      </c>
      <c r="BM13" s="16">
        <f>IF($D13="是",AD13-AE13,0)</f>
        <v>0</v>
      </c>
      <c r="BN13" s="16">
        <f>IF($D13="是",AF13-AG13,0)</f>
        <v>0</v>
      </c>
      <c r="BO13" s="16">
        <f>IF($D13="是",AH13-AI13,0)</f>
        <v>0</v>
      </c>
      <c r="BP13" s="16">
        <f>IF($D13="是",AJ13-AK13,0)</f>
        <v>0</v>
      </c>
      <c r="BQ13" s="16">
        <f>IF($D13="是",AL13-AM13,0)</f>
        <v>0</v>
      </c>
      <c r="BR13" s="16">
        <f>IF($D13="是",AN13-AO13,0)</f>
        <v>1035.03</v>
      </c>
      <c r="BS13" s="16">
        <f>IF($D13="是",AP13-AQ13,0)</f>
        <v>0</v>
      </c>
      <c r="BT13" s="22">
        <f>IF($D13="是",AR13-AS13,0)</f>
        <v>0</v>
      </c>
    </row>
    <row r="14" spans="1:72" s="2165" customFormat="1" ht="25.5">
      <c r="A14" s="1272"/>
      <c r="B14" s="1272"/>
      <c r="C14" s="2965" t="str">
        <f>面积表!E32</f>
        <v>207#研发楼（14号楼）</v>
      </c>
      <c r="D14" s="2211" t="s">
        <v>3053</v>
      </c>
      <c r="E14" s="16">
        <f>IF($C$3="是",ROUND($A$3*G14/$B$3,2),ROUND($A$3*(G14-AT14)/$B$3,2))</f>
        <v>3923.72</v>
      </c>
      <c r="F14" s="32"/>
      <c r="G14" s="33">
        <f>H14+AC14+AT14</f>
        <v>18095.78</v>
      </c>
      <c r="H14" s="20">
        <f>SUMIF(I$12:AB$12,"总值",I14:AB14)</f>
        <v>16871.11</v>
      </c>
      <c r="I14" s="2212">
        <f>面积表!H32</f>
        <v>15791.15</v>
      </c>
      <c r="J14" s="2212"/>
      <c r="K14" s="2212">
        <f>面积表!I32</f>
        <v>1079.96</v>
      </c>
      <c r="L14" s="2212"/>
      <c r="M14" s="2212"/>
      <c r="N14" s="2212"/>
      <c r="O14" s="2212"/>
      <c r="P14" s="2212"/>
      <c r="Q14" s="2212"/>
      <c r="R14" s="2212"/>
      <c r="S14" s="2212"/>
      <c r="T14" s="2212"/>
      <c r="U14" s="2212"/>
      <c r="V14" s="2212"/>
      <c r="W14" s="2212"/>
      <c r="X14" s="2212"/>
      <c r="Y14" s="2212"/>
      <c r="Z14" s="2212"/>
      <c r="AA14" s="2212"/>
      <c r="AB14" s="2212"/>
      <c r="AC14" s="16">
        <f>SUMIF(AD$12:AS$12,"总值",AD14:AS14)</f>
        <v>1224.67</v>
      </c>
      <c r="AD14" s="2213"/>
      <c r="AE14" s="2213"/>
      <c r="AF14" s="2213"/>
      <c r="AG14" s="2213"/>
      <c r="AH14" s="2213"/>
      <c r="AI14" s="2213"/>
      <c r="AJ14" s="2213"/>
      <c r="AK14" s="2213"/>
      <c r="AL14" s="2213">
        <f>面积表!L32</f>
        <v>104.46</v>
      </c>
      <c r="AM14" s="2213"/>
      <c r="AN14" s="2213">
        <f>面积表!M32</f>
        <v>1120.21</v>
      </c>
      <c r="AO14" s="2213"/>
      <c r="AP14" s="2213"/>
      <c r="AQ14" s="2213"/>
      <c r="AR14" s="2213"/>
      <c r="AS14" s="2213"/>
      <c r="AT14" s="2214"/>
      <c r="AU14" s="2215"/>
      <c r="AV14" s="11">
        <f t="shared" si="6"/>
        <v>0</v>
      </c>
      <c r="AW14" s="11">
        <f t="shared" si="6"/>
        <v>0</v>
      </c>
      <c r="AX14" s="11" t="str">
        <f t="shared" si="6"/>
        <v>207#研发楼（14号楼）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5.5">
      <c r="A15" s="1272"/>
      <c r="B15" s="1272"/>
      <c r="C15" s="2965" t="str">
        <f>面积表!E33</f>
        <v>208#研发楼（15号楼）</v>
      </c>
      <c r="D15" s="2211" t="s">
        <v>3053</v>
      </c>
      <c r="E15" s="16">
        <f>IF($C$3="是",ROUND($A$3*G15/$B$3,2),ROUND($A$3*(G15-AT15)/$B$3,2))</f>
        <v>3941.48</v>
      </c>
      <c r="F15" s="32"/>
      <c r="G15" s="33">
        <f>H15+AC15+AT15</f>
        <v>18177.689999999999</v>
      </c>
      <c r="H15" s="20">
        <f>SUMIF(I$12:AB$12,"总值",I15:AB15)</f>
        <v>16941.759999999998</v>
      </c>
      <c r="I15" s="2212">
        <f>面积表!H33</f>
        <v>15855.97</v>
      </c>
      <c r="J15" s="2212"/>
      <c r="K15" s="2212">
        <f>面积表!I33</f>
        <v>1085.79</v>
      </c>
      <c r="L15" s="2212"/>
      <c r="M15" s="2212"/>
      <c r="N15" s="2212"/>
      <c r="O15" s="2212"/>
      <c r="P15" s="2212"/>
      <c r="Q15" s="2212"/>
      <c r="R15" s="2212"/>
      <c r="S15" s="2212"/>
      <c r="T15" s="2212"/>
      <c r="U15" s="2212"/>
      <c r="V15" s="2212"/>
      <c r="W15" s="2212"/>
      <c r="X15" s="2212"/>
      <c r="Y15" s="2212"/>
      <c r="Z15" s="2212"/>
      <c r="AA15" s="2212"/>
      <c r="AB15" s="2212"/>
      <c r="AC15" s="16">
        <f>SUMIF(AD$12:AS$12,"总值",AD15:AS15)</f>
        <v>1235.93</v>
      </c>
      <c r="AD15" s="2213"/>
      <c r="AE15" s="2213"/>
      <c r="AF15" s="2213"/>
      <c r="AG15" s="2213"/>
      <c r="AH15" s="2213"/>
      <c r="AI15" s="2213"/>
      <c r="AJ15" s="2213"/>
      <c r="AK15" s="2213"/>
      <c r="AL15" s="2213">
        <f>面积表!L33</f>
        <v>104.46</v>
      </c>
      <c r="AM15" s="2213"/>
      <c r="AN15" s="2213">
        <f>面积表!M33</f>
        <v>1131.47</v>
      </c>
      <c r="AO15" s="2213"/>
      <c r="AP15" s="2213"/>
      <c r="AQ15" s="2213"/>
      <c r="AR15" s="2213"/>
      <c r="AS15" s="2213"/>
      <c r="AT15" s="2214"/>
      <c r="AU15" s="2215"/>
      <c r="AV15" s="11">
        <f t="shared" si="6"/>
        <v>0</v>
      </c>
      <c r="AW15" s="11">
        <f t="shared" si="6"/>
        <v>0</v>
      </c>
      <c r="AX15" s="11" t="str">
        <f t="shared" si="6"/>
        <v>208#研发楼（15号楼）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965" t="str">
        <f>面积表!E34</f>
        <v>212#研发楼</v>
      </c>
      <c r="D16" s="2211" t="s">
        <v>3052</v>
      </c>
      <c r="E16" s="16">
        <f>IF($C$3="是",ROUND($A$3*G16/$B$3,2),ROUND($A$3*(G16-AT16)/$B$3,2))</f>
        <v>3919.41</v>
      </c>
      <c r="F16" s="32"/>
      <c r="G16" s="33">
        <f>H16+AC16+AT16</f>
        <v>18075.91</v>
      </c>
      <c r="H16" s="20">
        <f>SUMIF(I$12:AB$12,"总值",I16:AB16)</f>
        <v>16966.91</v>
      </c>
      <c r="I16" s="2212">
        <f>面积表!H34</f>
        <v>15857.9</v>
      </c>
      <c r="J16" s="2212"/>
      <c r="K16" s="2212">
        <f>面积表!I34</f>
        <v>1109.01</v>
      </c>
      <c r="L16" s="2212"/>
      <c r="M16" s="2212"/>
      <c r="N16" s="2212"/>
      <c r="O16" s="2212"/>
      <c r="P16" s="2212"/>
      <c r="Q16" s="2212"/>
      <c r="R16" s="2212"/>
      <c r="S16" s="2212"/>
      <c r="T16" s="2212"/>
      <c r="U16" s="2212"/>
      <c r="V16" s="2212"/>
      <c r="W16" s="2212"/>
      <c r="X16" s="2212"/>
      <c r="Y16" s="2212"/>
      <c r="Z16" s="2212"/>
      <c r="AA16" s="2212"/>
      <c r="AB16" s="2212"/>
      <c r="AC16" s="16">
        <f>SUMIF(AD$12:AS$12,"总值",AD16:AS16)</f>
        <v>1109.0000000000002</v>
      </c>
      <c r="AD16" s="2213"/>
      <c r="AE16" s="2213"/>
      <c r="AF16" s="2213"/>
      <c r="AG16" s="2213"/>
      <c r="AH16" s="2213"/>
      <c r="AI16" s="2213"/>
      <c r="AJ16" s="2213"/>
      <c r="AK16" s="2213"/>
      <c r="AL16" s="2213">
        <f>面积表!L34</f>
        <v>0</v>
      </c>
      <c r="AM16" s="2213"/>
      <c r="AN16" s="2213">
        <f>面积表!M34</f>
        <v>1109.0000000000002</v>
      </c>
      <c r="AO16" s="2213"/>
      <c r="AP16" s="2213"/>
      <c r="AQ16" s="2213"/>
      <c r="AR16" s="2213"/>
      <c r="AS16" s="2213"/>
      <c r="AT16" s="2214"/>
      <c r="AU16" s="2215"/>
      <c r="AV16" s="11">
        <f t="shared" si="6"/>
        <v>0</v>
      </c>
      <c r="AW16" s="11">
        <f t="shared" si="6"/>
        <v>0</v>
      </c>
      <c r="AX16" s="11" t="str">
        <f t="shared" si="6"/>
        <v>212#研发楼</v>
      </c>
      <c r="AY16" s="1806">
        <f>ROUND($AY$6*AZ16/$AZ$5,2)</f>
        <v>3919.41</v>
      </c>
      <c r="AZ16" s="16">
        <f>BA16+BL16</f>
        <v>18075.91</v>
      </c>
      <c r="BA16" s="16">
        <f>SUM(BB16:BK16)</f>
        <v>16966.91</v>
      </c>
      <c r="BB16" s="16">
        <f>IF($D16="是",I16-J16,0)</f>
        <v>15857.9</v>
      </c>
      <c r="BC16" s="16">
        <f>IF($D16="是",K16-L16,0)</f>
        <v>1109.01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1109.0000000000002</v>
      </c>
      <c r="BM16" s="16">
        <f>IF($D16="是",AD16-AE16,0)</f>
        <v>0</v>
      </c>
      <c r="BN16" s="16">
        <f>IF($D16="是",AF16-AG16,0)</f>
        <v>0</v>
      </c>
      <c r="BO16" s="16">
        <f>IF($D16="是",AH16-AI16,0)</f>
        <v>0</v>
      </c>
      <c r="BP16" s="16">
        <f>IF($D16="是",AJ16-AK16,0)</f>
        <v>0</v>
      </c>
      <c r="BQ16" s="16">
        <f>IF($D16="是",AL16-AM16,0)</f>
        <v>0</v>
      </c>
      <c r="BR16" s="16">
        <f>IF($D16="是",AN16-AO16,0)</f>
        <v>1109.0000000000002</v>
      </c>
      <c r="BS16" s="16">
        <f>IF($D16="是",AP16-AQ16,0)</f>
        <v>0</v>
      </c>
      <c r="BT16" s="22">
        <f>IF($D16="是",AR16-AS16,0)</f>
        <v>0</v>
      </c>
    </row>
    <row r="17" spans="1:72" s="2165" customFormat="1" ht="12.75">
      <c r="A17" s="1272"/>
      <c r="B17" s="1272"/>
      <c r="C17" s="2965" t="str">
        <f>面积表!E35</f>
        <v>213#研发楼</v>
      </c>
      <c r="D17" s="2211" t="s">
        <v>3052</v>
      </c>
      <c r="E17" s="16">
        <f>IF($C$3="是",ROUND($A$3*G17/$B$3,2),ROUND($A$3*(G17-AT17)/$B$3,2))</f>
        <v>3920.26</v>
      </c>
      <c r="F17" s="32"/>
      <c r="G17" s="33">
        <f>H17+AC17+AT17</f>
        <v>18079.810000000001</v>
      </c>
      <c r="H17" s="20">
        <f>SUMIF(I$12:AB$12,"总值",I17:AB17)</f>
        <v>16969.830000000002</v>
      </c>
      <c r="I17" s="2212">
        <f>面积表!H35</f>
        <v>15859.85</v>
      </c>
      <c r="J17" s="2212"/>
      <c r="K17" s="2212">
        <f>面积表!I35</f>
        <v>1109.98</v>
      </c>
      <c r="L17" s="2212"/>
      <c r="M17" s="2212"/>
      <c r="N17" s="2212"/>
      <c r="O17" s="2212"/>
      <c r="P17" s="2212"/>
      <c r="Q17" s="2212"/>
      <c r="R17" s="2212"/>
      <c r="S17" s="2212"/>
      <c r="T17" s="2212"/>
      <c r="U17" s="2212"/>
      <c r="V17" s="2212"/>
      <c r="W17" s="2212"/>
      <c r="X17" s="2212"/>
      <c r="Y17" s="2212"/>
      <c r="Z17" s="2212"/>
      <c r="AA17" s="2212"/>
      <c r="AB17" s="2212"/>
      <c r="AC17" s="16">
        <f>SUMIF(AD$12:AS$12,"总值",AD17:AS17)</f>
        <v>1109.98</v>
      </c>
      <c r="AD17" s="2213"/>
      <c r="AE17" s="2213"/>
      <c r="AF17" s="2213"/>
      <c r="AG17" s="2213"/>
      <c r="AH17" s="2213"/>
      <c r="AI17" s="2213"/>
      <c r="AJ17" s="2213"/>
      <c r="AK17" s="2213"/>
      <c r="AL17" s="2213">
        <f>面积表!L35</f>
        <v>0</v>
      </c>
      <c r="AM17" s="2213"/>
      <c r="AN17" s="2213">
        <f>面积表!M35</f>
        <v>1109.98</v>
      </c>
      <c r="AO17" s="2213"/>
      <c r="AP17" s="2213"/>
      <c r="AQ17" s="2213"/>
      <c r="AR17" s="2213"/>
      <c r="AS17" s="2213"/>
      <c r="AT17" s="2214"/>
      <c r="AU17" s="2215"/>
      <c r="AV17" s="11">
        <f t="shared" si="6"/>
        <v>0</v>
      </c>
      <c r="AW17" s="11">
        <f t="shared" si="6"/>
        <v>0</v>
      </c>
      <c r="AX17" s="11" t="str">
        <f t="shared" si="6"/>
        <v>213#研发楼</v>
      </c>
      <c r="AY17" s="1806">
        <f>ROUND($AY$6*AZ17/$AZ$5,2)</f>
        <v>3920.26</v>
      </c>
      <c r="AZ17" s="16">
        <f>BA17+BL17</f>
        <v>18079.810000000001</v>
      </c>
      <c r="BA17" s="16">
        <f>SUM(BB17:BK17)</f>
        <v>16969.830000000002</v>
      </c>
      <c r="BB17" s="16">
        <f>IF($D17="是",I17-J17,0)</f>
        <v>15859.85</v>
      </c>
      <c r="BC17" s="16">
        <f>IF($D17="是",K17-L17,0)</f>
        <v>1109.98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1109.98</v>
      </c>
      <c r="BM17" s="16">
        <f>IF($D17="是",AD17-AE17,0)</f>
        <v>0</v>
      </c>
      <c r="BN17" s="16">
        <f>IF($D17="是",AF17-AG17,0)</f>
        <v>0</v>
      </c>
      <c r="BO17" s="16">
        <f>IF($D17="是",AH17-AI17,0)</f>
        <v>0</v>
      </c>
      <c r="BP17" s="16">
        <f>IF($D17="是",AJ17-AK17,0)</f>
        <v>0</v>
      </c>
      <c r="BQ17" s="16">
        <f>IF($D17="是",AL17-AM17,0)</f>
        <v>0</v>
      </c>
      <c r="BR17" s="16">
        <f>IF($D17="是",AN17-AO17,0)</f>
        <v>1109.98</v>
      </c>
      <c r="BS17" s="16">
        <f>IF($D17="是",AP17-AQ17,0)</f>
        <v>0</v>
      </c>
      <c r="BT17" s="22">
        <f>IF($D17="是",AR17-AS17,0)</f>
        <v>0</v>
      </c>
    </row>
    <row r="18" spans="1:72" ht="24" customHeight="1">
      <c r="A18" s="9"/>
      <c r="B18" s="1272"/>
      <c r="C18" s="2965" t="str">
        <f>面积表!E36</f>
        <v>214#研发楼（6号楼）</v>
      </c>
      <c r="D18" s="2211" t="s">
        <v>3053</v>
      </c>
      <c r="E18" s="35">
        <f t="shared" ref="E18:E112" si="7">IF($C$3="是",ROUND($A$3*G18/$B$3,2),ROUND($A$3*(G18-AT18)/$B$3,2))</f>
        <v>4024.98</v>
      </c>
      <c r="F18" s="36"/>
      <c r="G18" s="37">
        <f t="shared" ref="G18:G109" si="8">H18+AC18+AT18</f>
        <v>18562.770000000004</v>
      </c>
      <c r="H18" s="38">
        <f t="shared" ref="H18:H109" si="9">SUMIF(I$12:AB$12,"总值",I18:AB18)</f>
        <v>17335.580000000002</v>
      </c>
      <c r="I18" s="2212">
        <f>面积表!H36</f>
        <v>16304</v>
      </c>
      <c r="J18" s="39"/>
      <c r="K18" s="2212">
        <f>面积表!I36</f>
        <v>1031.58</v>
      </c>
      <c r="L18" s="39"/>
      <c r="M18" s="39"/>
      <c r="N18" s="39"/>
      <c r="O18" s="39"/>
      <c r="P18" s="39"/>
      <c r="Q18" s="39"/>
      <c r="R18" s="39"/>
      <c r="S18" s="39"/>
      <c r="T18" s="39"/>
      <c r="U18" s="39"/>
      <c r="V18" s="39"/>
      <c r="W18" s="39"/>
      <c r="X18" s="39"/>
      <c r="Y18" s="39"/>
      <c r="Z18" s="39"/>
      <c r="AA18" s="39"/>
      <c r="AB18" s="39"/>
      <c r="AC18" s="35">
        <f t="shared" ref="AC18:AC109" si="10">SUMIF(AD$12:AS$12,"总值",AD18:AS18)</f>
        <v>90.61</v>
      </c>
      <c r="AD18" s="40"/>
      <c r="AE18" s="40"/>
      <c r="AF18" s="2213"/>
      <c r="AG18" s="40"/>
      <c r="AH18" s="40"/>
      <c r="AI18" s="40"/>
      <c r="AJ18" s="40"/>
      <c r="AK18" s="40"/>
      <c r="AL18" s="2213">
        <f>面积表!L36</f>
        <v>90.61</v>
      </c>
      <c r="AM18" s="40"/>
      <c r="AN18" s="2213">
        <f>面积表!M36</f>
        <v>0</v>
      </c>
      <c r="AO18" s="40"/>
      <c r="AP18" s="40"/>
      <c r="AQ18" s="40"/>
      <c r="AR18" s="40"/>
      <c r="AS18" s="40"/>
      <c r="AT18" s="2214">
        <f>面积表!N36</f>
        <v>1136.58</v>
      </c>
      <c r="AU18" s="2217"/>
      <c r="AV18" s="1795">
        <f t="shared" ref="AV18:AV112" si="11">A18</f>
        <v>0</v>
      </c>
      <c r="AW18" s="1795">
        <f t="shared" ref="AW18:AW112" si="12">B18</f>
        <v>0</v>
      </c>
      <c r="AX18" s="1795" t="str">
        <f t="shared" ref="AX18:AX112" si="13">C18</f>
        <v>214#研发楼（6号楼）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1272"/>
      <c r="C19" s="2965" t="str">
        <f>面积表!E37</f>
        <v>215#研发楼（5号楼）</v>
      </c>
      <c r="D19" s="2211" t="s">
        <v>3053</v>
      </c>
      <c r="E19" s="35">
        <f t="shared" si="7"/>
        <v>3829.98</v>
      </c>
      <c r="F19" s="36"/>
      <c r="G19" s="37">
        <f t="shared" si="8"/>
        <v>17663.45</v>
      </c>
      <c r="H19" s="38">
        <f t="shared" si="9"/>
        <v>16500.91</v>
      </c>
      <c r="I19" s="2212">
        <f>面积表!H37</f>
        <v>15475.94</v>
      </c>
      <c r="J19" s="39"/>
      <c r="K19" s="2212">
        <f>面积表!I37</f>
        <v>1024.97</v>
      </c>
      <c r="L19" s="39"/>
      <c r="M19" s="39"/>
      <c r="N19" s="39"/>
      <c r="O19" s="39"/>
      <c r="P19" s="39"/>
      <c r="Q19" s="39"/>
      <c r="R19" s="39"/>
      <c r="S19" s="39"/>
      <c r="T19" s="39"/>
      <c r="U19" s="39"/>
      <c r="V19" s="39"/>
      <c r="W19" s="39"/>
      <c r="X19" s="39"/>
      <c r="Y19" s="39"/>
      <c r="Z19" s="39"/>
      <c r="AA19" s="39"/>
      <c r="AB19" s="39"/>
      <c r="AC19" s="35">
        <f t="shared" si="10"/>
        <v>90.04</v>
      </c>
      <c r="AD19" s="40"/>
      <c r="AE19" s="40"/>
      <c r="AF19" s="2213"/>
      <c r="AG19" s="40"/>
      <c r="AH19" s="40"/>
      <c r="AI19" s="40"/>
      <c r="AJ19" s="40"/>
      <c r="AK19" s="40"/>
      <c r="AL19" s="2213">
        <f>面积表!L37</f>
        <v>90.04</v>
      </c>
      <c r="AM19" s="40"/>
      <c r="AN19" s="2213">
        <f>面积表!M37</f>
        <v>0</v>
      </c>
      <c r="AO19" s="40"/>
      <c r="AP19" s="40"/>
      <c r="AQ19" s="40"/>
      <c r="AR19" s="40"/>
      <c r="AS19" s="40"/>
      <c r="AT19" s="2214">
        <f>面积表!N37</f>
        <v>1072.5</v>
      </c>
      <c r="AU19" s="2217"/>
      <c r="AV19" s="1795">
        <f t="shared" si="11"/>
        <v>0</v>
      </c>
      <c r="AW19" s="1795">
        <f t="shared" si="12"/>
        <v>0</v>
      </c>
      <c r="AX19" s="1795" t="str">
        <f t="shared" si="13"/>
        <v>215#研发楼（5号楼）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2.75">
      <c r="A20" s="9"/>
      <c r="B20" s="34"/>
      <c r="C20" s="2965" t="str">
        <f>面积表!E38</f>
        <v>216#研发楼（4号楼）</v>
      </c>
      <c r="D20" s="2211" t="s">
        <v>3053</v>
      </c>
      <c r="E20" s="35">
        <f t="shared" si="7"/>
        <v>3839.19</v>
      </c>
      <c r="F20" s="36"/>
      <c r="G20" s="37">
        <f t="shared" si="8"/>
        <v>17705.949999999997</v>
      </c>
      <c r="H20" s="38">
        <f t="shared" si="9"/>
        <v>16484.62</v>
      </c>
      <c r="I20" s="2212">
        <f>面积表!H38</f>
        <v>15377.83</v>
      </c>
      <c r="J20" s="39"/>
      <c r="K20" s="2212">
        <f>面积表!I38</f>
        <v>1106.79</v>
      </c>
      <c r="L20" s="39"/>
      <c r="M20" s="39"/>
      <c r="N20" s="39"/>
      <c r="O20" s="39"/>
      <c r="P20" s="39"/>
      <c r="Q20" s="39"/>
      <c r="R20" s="39"/>
      <c r="S20" s="39"/>
      <c r="T20" s="39"/>
      <c r="U20" s="39"/>
      <c r="V20" s="39"/>
      <c r="W20" s="39"/>
      <c r="X20" s="39"/>
      <c r="Y20" s="39"/>
      <c r="Z20" s="39"/>
      <c r="AA20" s="39"/>
      <c r="AB20" s="39"/>
      <c r="AC20" s="35">
        <f t="shared" si="10"/>
        <v>89.66</v>
      </c>
      <c r="AD20" s="40"/>
      <c r="AE20" s="40"/>
      <c r="AF20" s="2213"/>
      <c r="AG20" s="40"/>
      <c r="AH20" s="40"/>
      <c r="AI20" s="40"/>
      <c r="AJ20" s="40"/>
      <c r="AK20" s="40"/>
      <c r="AL20" s="2213">
        <f>面积表!L38</f>
        <v>89.66</v>
      </c>
      <c r="AM20" s="40"/>
      <c r="AN20" s="2213">
        <f>面积表!M38</f>
        <v>0</v>
      </c>
      <c r="AO20" s="40"/>
      <c r="AP20" s="40"/>
      <c r="AQ20" s="40"/>
      <c r="AR20" s="40"/>
      <c r="AS20" s="40"/>
      <c r="AT20" s="2214">
        <f>面积表!N38</f>
        <v>1131.67</v>
      </c>
      <c r="AU20" s="2217"/>
      <c r="AV20" s="1795">
        <f t="shared" si="11"/>
        <v>0</v>
      </c>
      <c r="AW20" s="1795">
        <f t="shared" si="12"/>
        <v>0</v>
      </c>
      <c r="AX20" s="1795" t="str">
        <f t="shared" si="13"/>
        <v>216#研发楼（4号楼）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2965" t="str">
        <f>面积表!E39</f>
        <v>218#研发楼</v>
      </c>
      <c r="D21" s="2211" t="s">
        <v>3052</v>
      </c>
      <c r="E21" s="35">
        <f t="shared" si="7"/>
        <v>355.37</v>
      </c>
      <c r="F21" s="36"/>
      <c r="G21" s="37">
        <f t="shared" si="8"/>
        <v>1638.94</v>
      </c>
      <c r="H21" s="38">
        <f t="shared" si="9"/>
        <v>1638.94</v>
      </c>
      <c r="I21" s="2212">
        <f>面积表!H39</f>
        <v>1638.94</v>
      </c>
      <c r="J21" s="39"/>
      <c r="K21" s="2212">
        <f>面积表!I39</f>
        <v>0</v>
      </c>
      <c r="L21" s="39"/>
      <c r="M21" s="39"/>
      <c r="N21" s="39"/>
      <c r="O21" s="39"/>
      <c r="P21" s="39"/>
      <c r="Q21" s="39"/>
      <c r="R21" s="39"/>
      <c r="S21" s="39"/>
      <c r="T21" s="39"/>
      <c r="U21" s="39"/>
      <c r="V21" s="39"/>
      <c r="W21" s="39"/>
      <c r="X21" s="39"/>
      <c r="Y21" s="39"/>
      <c r="Z21" s="39"/>
      <c r="AA21" s="39"/>
      <c r="AB21" s="39"/>
      <c r="AC21" s="35">
        <f t="shared" si="10"/>
        <v>0</v>
      </c>
      <c r="AD21" s="40"/>
      <c r="AE21" s="40"/>
      <c r="AF21" s="2213"/>
      <c r="AG21" s="40"/>
      <c r="AH21" s="40"/>
      <c r="AI21" s="40"/>
      <c r="AJ21" s="40"/>
      <c r="AK21" s="40"/>
      <c r="AL21" s="2213">
        <f>面积表!L39</f>
        <v>0</v>
      </c>
      <c r="AM21" s="40"/>
      <c r="AN21" s="2213">
        <f>面积表!M39</f>
        <v>0</v>
      </c>
      <c r="AO21" s="40"/>
      <c r="AP21" s="40"/>
      <c r="AQ21" s="40"/>
      <c r="AR21" s="40"/>
      <c r="AS21" s="40"/>
      <c r="AT21" s="2214"/>
      <c r="AU21" s="2217"/>
      <c r="AV21" s="1795">
        <f t="shared" si="11"/>
        <v>0</v>
      </c>
      <c r="AW21" s="1795">
        <f t="shared" si="12"/>
        <v>0</v>
      </c>
      <c r="AX21" s="1795" t="str">
        <f t="shared" si="13"/>
        <v>218#研发楼</v>
      </c>
      <c r="AY21" s="42">
        <f t="shared" si="14"/>
        <v>355.37</v>
      </c>
      <c r="AZ21" s="35">
        <f t="shared" si="15"/>
        <v>1638.94</v>
      </c>
      <c r="BA21" s="35">
        <f t="shared" si="16"/>
        <v>1638.94</v>
      </c>
      <c r="BB21" s="35">
        <f t="shared" si="17"/>
        <v>1638.94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65" t="str">
        <f>面积表!E40</f>
        <v>219#地下车库</v>
      </c>
      <c r="D22" s="2211" t="s">
        <v>3052</v>
      </c>
      <c r="E22" s="35">
        <f t="shared" si="7"/>
        <v>4032.22</v>
      </c>
      <c r="F22" s="36"/>
      <c r="G22" s="37">
        <f t="shared" si="8"/>
        <v>18596.150000000001</v>
      </c>
      <c r="H22" s="38">
        <f t="shared" si="9"/>
        <v>18596.150000000001</v>
      </c>
      <c r="I22" s="2212">
        <f>面积表!H40</f>
        <v>0</v>
      </c>
      <c r="J22" s="39"/>
      <c r="K22" s="2212">
        <f>面积表!I40</f>
        <v>0</v>
      </c>
      <c r="L22" s="39"/>
      <c r="M22" s="39">
        <f>面积表!J40</f>
        <v>18596.150000000001</v>
      </c>
      <c r="N22" s="39"/>
      <c r="O22" s="39"/>
      <c r="P22" s="39"/>
      <c r="Q22" s="39"/>
      <c r="R22" s="39"/>
      <c r="S22" s="39"/>
      <c r="T22" s="39"/>
      <c r="U22" s="39"/>
      <c r="V22" s="39"/>
      <c r="W22" s="39"/>
      <c r="X22" s="39"/>
      <c r="Y22" s="39"/>
      <c r="Z22" s="39"/>
      <c r="AA22" s="39"/>
      <c r="AB22" s="39"/>
      <c r="AC22" s="35">
        <f t="shared" si="10"/>
        <v>0</v>
      </c>
      <c r="AD22" s="40"/>
      <c r="AE22" s="40"/>
      <c r="AF22" s="2213"/>
      <c r="AG22" s="40"/>
      <c r="AH22" s="40"/>
      <c r="AI22" s="40"/>
      <c r="AJ22" s="40"/>
      <c r="AK22" s="40"/>
      <c r="AL22" s="2213">
        <f>面积表!L40</f>
        <v>0</v>
      </c>
      <c r="AM22" s="40"/>
      <c r="AN22" s="2213">
        <f>面积表!M40</f>
        <v>0</v>
      </c>
      <c r="AO22" s="40"/>
      <c r="AP22" s="40"/>
      <c r="AQ22" s="40"/>
      <c r="AR22" s="40"/>
      <c r="AS22" s="40"/>
      <c r="AT22" s="2214"/>
      <c r="AU22" s="2217"/>
      <c r="AV22" s="1795">
        <f t="shared" si="11"/>
        <v>0</v>
      </c>
      <c r="AW22" s="1795">
        <f t="shared" si="12"/>
        <v>0</v>
      </c>
      <c r="AX22" s="1795" t="str">
        <f t="shared" si="13"/>
        <v>219#地下车库</v>
      </c>
      <c r="AY22" s="42">
        <f t="shared" si="14"/>
        <v>4032.21</v>
      </c>
      <c r="AZ22" s="35">
        <f t="shared" si="15"/>
        <v>18596.150000000001</v>
      </c>
      <c r="BA22" s="35">
        <f t="shared" si="16"/>
        <v>18596.150000000001</v>
      </c>
      <c r="BB22" s="35">
        <f t="shared" si="17"/>
        <v>0</v>
      </c>
      <c r="BC22" s="35">
        <f t="shared" si="18"/>
        <v>0</v>
      </c>
      <c r="BD22" s="35">
        <f t="shared" si="19"/>
        <v>18596.150000000001</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2.75">
      <c r="A23" s="9"/>
      <c r="B23" s="34"/>
      <c r="C23" s="2965" t="str">
        <f>面积表!E41</f>
        <v>201#研发楼（3号楼）</v>
      </c>
      <c r="D23" s="2211" t="s">
        <v>3053</v>
      </c>
      <c r="E23" s="35">
        <f t="shared" si="7"/>
        <v>3882.49</v>
      </c>
      <c r="F23" s="36"/>
      <c r="G23" s="37">
        <f t="shared" si="8"/>
        <v>17905.62</v>
      </c>
      <c r="H23" s="38">
        <f t="shared" si="9"/>
        <v>16666.059999999998</v>
      </c>
      <c r="I23" s="2212">
        <f>面积表!H41</f>
        <v>15586.38</v>
      </c>
      <c r="J23" s="39"/>
      <c r="K23" s="2212">
        <f>面积表!I41</f>
        <v>1079.68</v>
      </c>
      <c r="L23" s="39"/>
      <c r="M23" s="39"/>
      <c r="N23" s="39"/>
      <c r="O23" s="39"/>
      <c r="P23" s="39"/>
      <c r="Q23" s="39"/>
      <c r="R23" s="39"/>
      <c r="S23" s="39"/>
      <c r="T23" s="39"/>
      <c r="U23" s="39"/>
      <c r="V23" s="39"/>
      <c r="W23" s="39"/>
      <c r="X23" s="39"/>
      <c r="Y23" s="39"/>
      <c r="Z23" s="39"/>
      <c r="AA23" s="39"/>
      <c r="AB23" s="39"/>
      <c r="AC23" s="35">
        <f t="shared" si="10"/>
        <v>1239.56</v>
      </c>
      <c r="AD23" s="40"/>
      <c r="AE23" s="40"/>
      <c r="AF23" s="2213"/>
      <c r="AG23" s="40"/>
      <c r="AH23" s="40"/>
      <c r="AI23" s="40"/>
      <c r="AJ23" s="40"/>
      <c r="AK23" s="40"/>
      <c r="AL23" s="2213">
        <f>面积表!L41</f>
        <v>176.95</v>
      </c>
      <c r="AM23" s="40"/>
      <c r="AN23" s="2213">
        <f>面积表!M41</f>
        <v>1062.6099999999999</v>
      </c>
      <c r="AO23" s="40"/>
      <c r="AP23" s="40"/>
      <c r="AQ23" s="40"/>
      <c r="AR23" s="40"/>
      <c r="AS23" s="40"/>
      <c r="AT23" s="2214"/>
      <c r="AU23" s="2217"/>
      <c r="AV23" s="1795">
        <f t="shared" si="11"/>
        <v>0</v>
      </c>
      <c r="AW23" s="1795">
        <f t="shared" si="12"/>
        <v>0</v>
      </c>
      <c r="AX23" s="1795" t="str">
        <f t="shared" si="13"/>
        <v>201#研发楼（3号楼）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2.75">
      <c r="A24" s="9"/>
      <c r="B24" s="34"/>
      <c r="C24" s="2965" t="str">
        <f>面积表!E42</f>
        <v>202#研发楼（2号楼）</v>
      </c>
      <c r="D24" s="2211" t="s">
        <v>3053</v>
      </c>
      <c r="E24" s="35">
        <f t="shared" si="7"/>
        <v>3864.73</v>
      </c>
      <c r="F24" s="36"/>
      <c r="G24" s="37">
        <f t="shared" si="8"/>
        <v>17823.73</v>
      </c>
      <c r="H24" s="38">
        <f t="shared" si="9"/>
        <v>16707.43</v>
      </c>
      <c r="I24" s="2212">
        <f>面积表!H42</f>
        <v>15693.66</v>
      </c>
      <c r="J24" s="39"/>
      <c r="K24" s="2212">
        <f>面积表!I42</f>
        <v>1013.77</v>
      </c>
      <c r="L24" s="39"/>
      <c r="M24" s="39"/>
      <c r="N24" s="39"/>
      <c r="O24" s="39"/>
      <c r="P24" s="39"/>
      <c r="Q24" s="39"/>
      <c r="R24" s="39"/>
      <c r="S24" s="39"/>
      <c r="T24" s="39"/>
      <c r="U24" s="39"/>
      <c r="V24" s="39"/>
      <c r="W24" s="39"/>
      <c r="X24" s="39"/>
      <c r="Y24" s="39"/>
      <c r="Z24" s="39"/>
      <c r="AA24" s="39"/>
      <c r="AB24" s="39"/>
      <c r="AC24" s="35">
        <f t="shared" si="10"/>
        <v>1116.3</v>
      </c>
      <c r="AD24" s="40"/>
      <c r="AE24" s="40"/>
      <c r="AF24" s="2213"/>
      <c r="AG24" s="40"/>
      <c r="AH24" s="40"/>
      <c r="AI24" s="40"/>
      <c r="AJ24" s="40"/>
      <c r="AK24" s="40"/>
      <c r="AL24" s="2213">
        <f>面积表!L42</f>
        <v>113.01</v>
      </c>
      <c r="AM24" s="40"/>
      <c r="AN24" s="2213">
        <f>面积表!M42</f>
        <v>1003.29</v>
      </c>
      <c r="AO24" s="40"/>
      <c r="AP24" s="40"/>
      <c r="AQ24" s="40"/>
      <c r="AR24" s="40"/>
      <c r="AS24" s="40"/>
      <c r="AT24" s="2214"/>
      <c r="AU24" s="2217"/>
      <c r="AV24" s="1795">
        <f t="shared" si="11"/>
        <v>0</v>
      </c>
      <c r="AW24" s="1795">
        <f t="shared" si="12"/>
        <v>0</v>
      </c>
      <c r="AX24" s="1795" t="str">
        <f t="shared" si="13"/>
        <v>202#研发楼（2号楼）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42.75">
      <c r="A25" s="9"/>
      <c r="B25" s="34"/>
      <c r="C25" s="2965" t="str">
        <f>面积表!E43</f>
        <v>203#研发楼（1号楼）</v>
      </c>
      <c r="D25" s="2211" t="s">
        <v>3053</v>
      </c>
      <c r="E25" s="35">
        <f t="shared" si="7"/>
        <v>3991.82</v>
      </c>
      <c r="F25" s="36"/>
      <c r="G25" s="37">
        <f t="shared" si="8"/>
        <v>18409.830000000002</v>
      </c>
      <c r="H25" s="38">
        <f t="shared" si="9"/>
        <v>17305.04</v>
      </c>
      <c r="I25" s="2212">
        <f>面积表!H43</f>
        <v>16281.58</v>
      </c>
      <c r="J25" s="39"/>
      <c r="K25" s="2212">
        <f>面积表!I43</f>
        <v>1023.46</v>
      </c>
      <c r="L25" s="39"/>
      <c r="M25" s="39"/>
      <c r="N25" s="39"/>
      <c r="O25" s="39"/>
      <c r="P25" s="39"/>
      <c r="Q25" s="39"/>
      <c r="R25" s="39"/>
      <c r="S25" s="39"/>
      <c r="T25" s="39"/>
      <c r="U25" s="39"/>
      <c r="V25" s="39"/>
      <c r="W25" s="39"/>
      <c r="X25" s="39"/>
      <c r="Y25" s="39"/>
      <c r="Z25" s="39"/>
      <c r="AA25" s="39"/>
      <c r="AB25" s="39"/>
      <c r="AC25" s="35">
        <f t="shared" si="10"/>
        <v>1104.79</v>
      </c>
      <c r="AD25" s="40"/>
      <c r="AE25" s="40"/>
      <c r="AF25" s="2213"/>
      <c r="AG25" s="40"/>
      <c r="AH25" s="40"/>
      <c r="AI25" s="40"/>
      <c r="AJ25" s="40"/>
      <c r="AK25" s="40"/>
      <c r="AL25" s="2213">
        <f>面积表!L43</f>
        <v>90.18</v>
      </c>
      <c r="AM25" s="40"/>
      <c r="AN25" s="2213">
        <f>面积表!M43</f>
        <v>1014.61</v>
      </c>
      <c r="AO25" s="40"/>
      <c r="AP25" s="40"/>
      <c r="AQ25" s="40"/>
      <c r="AR25" s="40"/>
      <c r="AS25" s="40"/>
      <c r="AT25" s="2214"/>
      <c r="AU25" s="2217"/>
      <c r="AV25" s="1795">
        <f t="shared" si="11"/>
        <v>0</v>
      </c>
      <c r="AW25" s="1795">
        <f t="shared" si="12"/>
        <v>0</v>
      </c>
      <c r="AX25" s="1795" t="str">
        <f t="shared" si="13"/>
        <v>203#研发楼（1号楼）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2965" t="str">
        <f>面积表!E44</f>
        <v>204#研发楼</v>
      </c>
      <c r="D26" s="2211" t="s">
        <v>3052</v>
      </c>
      <c r="E26" s="35">
        <f t="shared" si="7"/>
        <v>3919.41</v>
      </c>
      <c r="F26" s="36"/>
      <c r="G26" s="37">
        <f t="shared" si="8"/>
        <v>18075.91</v>
      </c>
      <c r="H26" s="38">
        <f t="shared" si="9"/>
        <v>17044.62</v>
      </c>
      <c r="I26" s="2212">
        <f>面积表!H44</f>
        <v>15857.9</v>
      </c>
      <c r="J26" s="39"/>
      <c r="K26" s="2212">
        <f>面积表!I44</f>
        <v>1186.7200000000003</v>
      </c>
      <c r="L26" s="39"/>
      <c r="M26" s="39"/>
      <c r="N26" s="39"/>
      <c r="O26" s="39"/>
      <c r="P26" s="39"/>
      <c r="Q26" s="39"/>
      <c r="R26" s="39"/>
      <c r="S26" s="39"/>
      <c r="T26" s="39"/>
      <c r="U26" s="39"/>
      <c r="V26" s="39"/>
      <c r="W26" s="39"/>
      <c r="X26" s="39"/>
      <c r="Y26" s="39"/>
      <c r="Z26" s="39"/>
      <c r="AA26" s="39"/>
      <c r="AB26" s="39"/>
      <c r="AC26" s="35">
        <f t="shared" si="10"/>
        <v>1031.29</v>
      </c>
      <c r="AD26" s="40"/>
      <c r="AE26" s="40"/>
      <c r="AF26" s="2213"/>
      <c r="AG26" s="40"/>
      <c r="AH26" s="40"/>
      <c r="AI26" s="40"/>
      <c r="AJ26" s="40"/>
      <c r="AK26" s="40"/>
      <c r="AL26" s="2213">
        <f>面积表!L44</f>
        <v>0</v>
      </c>
      <c r="AM26" s="40"/>
      <c r="AN26" s="2213">
        <f>面积表!M44</f>
        <v>1031.29</v>
      </c>
      <c r="AO26" s="40"/>
      <c r="AP26" s="40"/>
      <c r="AQ26" s="40"/>
      <c r="AR26" s="40"/>
      <c r="AS26" s="40"/>
      <c r="AT26" s="2214"/>
      <c r="AU26" s="2217"/>
      <c r="AV26" s="1795">
        <f t="shared" si="11"/>
        <v>0</v>
      </c>
      <c r="AW26" s="1795">
        <f t="shared" si="12"/>
        <v>0</v>
      </c>
      <c r="AX26" s="1795" t="str">
        <f t="shared" si="13"/>
        <v>204#研发楼</v>
      </c>
      <c r="AY26" s="42">
        <f t="shared" si="14"/>
        <v>3919.41</v>
      </c>
      <c r="AZ26" s="35">
        <f t="shared" si="15"/>
        <v>18075.91</v>
      </c>
      <c r="BA26" s="35">
        <f t="shared" si="16"/>
        <v>17044.62</v>
      </c>
      <c r="BB26" s="35">
        <f t="shared" si="17"/>
        <v>15857.9</v>
      </c>
      <c r="BC26" s="35">
        <f t="shared" si="18"/>
        <v>1186.7200000000003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1031.29</v>
      </c>
      <c r="BM26" s="35">
        <f t="shared" si="28"/>
        <v>0</v>
      </c>
      <c r="BN26" s="35">
        <f t="shared" si="29"/>
        <v>0</v>
      </c>
      <c r="BO26" s="35">
        <f t="shared" si="30"/>
        <v>0</v>
      </c>
      <c r="BP26" s="35">
        <f t="shared" si="31"/>
        <v>0</v>
      </c>
      <c r="BQ26" s="35">
        <f t="shared" si="32"/>
        <v>0</v>
      </c>
      <c r="BR26" s="35">
        <f t="shared" si="33"/>
        <v>1031.29</v>
      </c>
      <c r="BS26" s="35">
        <f t="shared" si="34"/>
        <v>0</v>
      </c>
      <c r="BT26" s="43">
        <f t="shared" si="35"/>
        <v>0</v>
      </c>
    </row>
    <row r="27" spans="1:72" ht="28.5">
      <c r="A27" s="9"/>
      <c r="B27" s="34"/>
      <c r="C27" s="2965" t="str">
        <f>面积表!E45</f>
        <v>205#研发楼</v>
      </c>
      <c r="D27" s="2211" t="s">
        <v>3052</v>
      </c>
      <c r="E27" s="35">
        <f t="shared" si="7"/>
        <v>3920.26</v>
      </c>
      <c r="F27" s="36"/>
      <c r="G27" s="37">
        <f t="shared" si="8"/>
        <v>18079.810000000001</v>
      </c>
      <c r="H27" s="38">
        <f t="shared" si="9"/>
        <v>17048.52</v>
      </c>
      <c r="I27" s="2212">
        <f>面积表!H45</f>
        <v>15859.85</v>
      </c>
      <c r="J27" s="39"/>
      <c r="K27" s="2212">
        <f>面积表!I45</f>
        <v>1188.67</v>
      </c>
      <c r="L27" s="39"/>
      <c r="M27" s="39"/>
      <c r="N27" s="39"/>
      <c r="O27" s="39"/>
      <c r="P27" s="39"/>
      <c r="Q27" s="39"/>
      <c r="R27" s="39"/>
      <c r="S27" s="39"/>
      <c r="T27" s="39"/>
      <c r="U27" s="39"/>
      <c r="V27" s="39"/>
      <c r="W27" s="39"/>
      <c r="X27" s="39"/>
      <c r="Y27" s="39"/>
      <c r="Z27" s="39"/>
      <c r="AA27" s="39"/>
      <c r="AB27" s="39"/>
      <c r="AC27" s="35">
        <f t="shared" si="10"/>
        <v>1031.29</v>
      </c>
      <c r="AD27" s="40"/>
      <c r="AE27" s="40"/>
      <c r="AF27" s="2213"/>
      <c r="AG27" s="40"/>
      <c r="AH27" s="40"/>
      <c r="AI27" s="40"/>
      <c r="AJ27" s="40"/>
      <c r="AK27" s="40"/>
      <c r="AL27" s="2213">
        <f>面积表!L45</f>
        <v>0</v>
      </c>
      <c r="AM27" s="40"/>
      <c r="AN27" s="2213">
        <f>面积表!M45</f>
        <v>1031.29</v>
      </c>
      <c r="AO27" s="40"/>
      <c r="AP27" s="40"/>
      <c r="AQ27" s="40"/>
      <c r="AR27" s="40"/>
      <c r="AS27" s="40"/>
      <c r="AT27" s="2214"/>
      <c r="AU27" s="2217"/>
      <c r="AV27" s="1795">
        <f t="shared" si="11"/>
        <v>0</v>
      </c>
      <c r="AW27" s="1795">
        <f t="shared" si="12"/>
        <v>0</v>
      </c>
      <c r="AX27" s="1795" t="str">
        <f t="shared" si="13"/>
        <v>205#研发楼</v>
      </c>
      <c r="AY27" s="42">
        <f t="shared" si="14"/>
        <v>3920.26</v>
      </c>
      <c r="AZ27" s="35">
        <f t="shared" si="15"/>
        <v>18079.810000000001</v>
      </c>
      <c r="BA27" s="35">
        <f t="shared" si="16"/>
        <v>17048.52</v>
      </c>
      <c r="BB27" s="35">
        <f t="shared" si="17"/>
        <v>15859.85</v>
      </c>
      <c r="BC27" s="35">
        <f t="shared" si="18"/>
        <v>1188.67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1031.29</v>
      </c>
      <c r="BM27" s="35">
        <f t="shared" si="28"/>
        <v>0</v>
      </c>
      <c r="BN27" s="35">
        <f t="shared" si="29"/>
        <v>0</v>
      </c>
      <c r="BO27" s="35">
        <f t="shared" si="30"/>
        <v>0</v>
      </c>
      <c r="BP27" s="35">
        <f t="shared" si="31"/>
        <v>0</v>
      </c>
      <c r="BQ27" s="35">
        <f t="shared" si="32"/>
        <v>0</v>
      </c>
      <c r="BR27" s="35">
        <f t="shared" si="33"/>
        <v>1031.29</v>
      </c>
      <c r="BS27" s="35">
        <f t="shared" si="34"/>
        <v>0</v>
      </c>
      <c r="BT27" s="43">
        <f t="shared" si="35"/>
        <v>0</v>
      </c>
    </row>
    <row r="28" spans="1:72" ht="28.5">
      <c r="A28" s="9"/>
      <c r="B28" s="34"/>
      <c r="C28" s="2965" t="str">
        <f>面积表!E46</f>
        <v>217#研发楼</v>
      </c>
      <c r="D28" s="2211" t="s">
        <v>3052</v>
      </c>
      <c r="E28" s="35">
        <f t="shared" si="7"/>
        <v>305.23</v>
      </c>
      <c r="F28" s="36"/>
      <c r="G28" s="37">
        <f t="shared" si="8"/>
        <v>1407.71</v>
      </c>
      <c r="H28" s="38">
        <f t="shared" si="9"/>
        <v>1407.71</v>
      </c>
      <c r="I28" s="2212">
        <f>面积表!H46</f>
        <v>1407.71</v>
      </c>
      <c r="J28" s="39"/>
      <c r="K28" s="2212">
        <f>面积表!I46</f>
        <v>0</v>
      </c>
      <c r="L28" s="39"/>
      <c r="M28" s="39"/>
      <c r="N28" s="39"/>
      <c r="O28" s="39"/>
      <c r="P28" s="39"/>
      <c r="Q28" s="39"/>
      <c r="R28" s="39"/>
      <c r="S28" s="39"/>
      <c r="T28" s="39"/>
      <c r="U28" s="39"/>
      <c r="V28" s="39"/>
      <c r="W28" s="39"/>
      <c r="X28" s="39"/>
      <c r="Y28" s="39"/>
      <c r="Z28" s="39"/>
      <c r="AA28" s="39"/>
      <c r="AB28" s="39"/>
      <c r="AC28" s="35">
        <f t="shared" si="10"/>
        <v>0</v>
      </c>
      <c r="AD28" s="40"/>
      <c r="AE28" s="40"/>
      <c r="AF28" s="2213"/>
      <c r="AG28" s="40"/>
      <c r="AH28" s="40"/>
      <c r="AI28" s="40"/>
      <c r="AJ28" s="40"/>
      <c r="AK28" s="40"/>
      <c r="AL28" s="2213">
        <f>面积表!L46</f>
        <v>0</v>
      </c>
      <c r="AM28" s="40"/>
      <c r="AN28" s="2213">
        <f>面积表!M46</f>
        <v>0</v>
      </c>
      <c r="AO28" s="40"/>
      <c r="AP28" s="40"/>
      <c r="AQ28" s="40"/>
      <c r="AR28" s="40"/>
      <c r="AS28" s="40"/>
      <c r="AT28" s="2214"/>
      <c r="AU28" s="2217"/>
      <c r="AV28" s="1795">
        <f t="shared" si="11"/>
        <v>0</v>
      </c>
      <c r="AW28" s="1795">
        <f t="shared" si="12"/>
        <v>0</v>
      </c>
      <c r="AX28" s="1795" t="str">
        <f t="shared" si="13"/>
        <v>217#研发楼</v>
      </c>
      <c r="AY28" s="42">
        <f t="shared" si="14"/>
        <v>305.23</v>
      </c>
      <c r="AZ28" s="35">
        <f t="shared" si="15"/>
        <v>1407.71</v>
      </c>
      <c r="BA28" s="35">
        <f t="shared" si="16"/>
        <v>1407.71</v>
      </c>
      <c r="BB28" s="35">
        <f t="shared" si="17"/>
        <v>1407.71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42.75">
      <c r="A29" s="9"/>
      <c r="B29" s="34"/>
      <c r="C29" s="2965" t="str">
        <f>面积表!E47</f>
        <v>209#研发楼（16号楼）</v>
      </c>
      <c r="D29" s="2211" t="s">
        <v>3053</v>
      </c>
      <c r="E29" s="35">
        <f t="shared" si="7"/>
        <v>3941.48</v>
      </c>
      <c r="F29" s="36"/>
      <c r="G29" s="37">
        <f t="shared" si="8"/>
        <v>18177.689999999999</v>
      </c>
      <c r="H29" s="38">
        <f t="shared" si="9"/>
        <v>16941.759999999998</v>
      </c>
      <c r="I29" s="2212">
        <f>面积表!H47</f>
        <v>15855.97</v>
      </c>
      <c r="J29" s="39"/>
      <c r="K29" s="2212">
        <f>面积表!I47</f>
        <v>1085.79</v>
      </c>
      <c r="L29" s="39"/>
      <c r="M29" s="39"/>
      <c r="N29" s="39"/>
      <c r="O29" s="39"/>
      <c r="P29" s="39"/>
      <c r="Q29" s="39"/>
      <c r="R29" s="39"/>
      <c r="S29" s="39"/>
      <c r="T29" s="39"/>
      <c r="U29" s="39"/>
      <c r="V29" s="39"/>
      <c r="W29" s="39"/>
      <c r="X29" s="39"/>
      <c r="Y29" s="39"/>
      <c r="Z29" s="39"/>
      <c r="AA29" s="39"/>
      <c r="AB29" s="39"/>
      <c r="AC29" s="35">
        <f t="shared" si="10"/>
        <v>1235.93</v>
      </c>
      <c r="AD29" s="40"/>
      <c r="AE29" s="40"/>
      <c r="AF29" s="2213"/>
      <c r="AG29" s="40"/>
      <c r="AH29" s="40"/>
      <c r="AI29" s="40"/>
      <c r="AJ29" s="40"/>
      <c r="AK29" s="40"/>
      <c r="AL29" s="2213">
        <f>面积表!L47</f>
        <v>104.46</v>
      </c>
      <c r="AM29" s="40"/>
      <c r="AN29" s="2213">
        <f>面积表!M47</f>
        <v>1131.47</v>
      </c>
      <c r="AO29" s="40"/>
      <c r="AP29" s="40"/>
      <c r="AQ29" s="40"/>
      <c r="AR29" s="40"/>
      <c r="AS29" s="40"/>
      <c r="AT29" s="2214"/>
      <c r="AU29" s="2217"/>
      <c r="AV29" s="1795">
        <f t="shared" si="11"/>
        <v>0</v>
      </c>
      <c r="AW29" s="1795">
        <f t="shared" si="12"/>
        <v>0</v>
      </c>
      <c r="AX29" s="1795" t="str">
        <f t="shared" si="13"/>
        <v>209#研发楼（16号楼）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42.75">
      <c r="A30" s="9"/>
      <c r="B30" s="34"/>
      <c r="C30" s="2965" t="str">
        <f>面积表!E48</f>
        <v>210#研发楼（17号楼）</v>
      </c>
      <c r="D30" s="2211" t="s">
        <v>3053</v>
      </c>
      <c r="E30" s="35">
        <f t="shared" si="7"/>
        <v>3923.72</v>
      </c>
      <c r="F30" s="36"/>
      <c r="G30" s="37">
        <f t="shared" si="8"/>
        <v>18095.78</v>
      </c>
      <c r="H30" s="38">
        <f t="shared" si="9"/>
        <v>16871.11</v>
      </c>
      <c r="I30" s="2212">
        <f>面积表!H48</f>
        <v>15791.15</v>
      </c>
      <c r="J30" s="39"/>
      <c r="K30" s="2212">
        <f>面积表!I48</f>
        <v>1079.96</v>
      </c>
      <c r="L30" s="39"/>
      <c r="M30" s="39"/>
      <c r="N30" s="39"/>
      <c r="O30" s="39"/>
      <c r="P30" s="39"/>
      <c r="Q30" s="39"/>
      <c r="R30" s="39"/>
      <c r="S30" s="39"/>
      <c r="T30" s="39"/>
      <c r="U30" s="39"/>
      <c r="V30" s="39"/>
      <c r="W30" s="39"/>
      <c r="X30" s="39"/>
      <c r="Y30" s="39"/>
      <c r="Z30" s="39"/>
      <c r="AA30" s="39"/>
      <c r="AB30" s="39"/>
      <c r="AC30" s="35">
        <f t="shared" si="10"/>
        <v>1224.67</v>
      </c>
      <c r="AD30" s="40"/>
      <c r="AE30" s="40"/>
      <c r="AF30" s="2213"/>
      <c r="AG30" s="40"/>
      <c r="AH30" s="40"/>
      <c r="AI30" s="40"/>
      <c r="AJ30" s="40"/>
      <c r="AK30" s="40"/>
      <c r="AL30" s="2213">
        <f>面积表!L48</f>
        <v>104.46</v>
      </c>
      <c r="AM30" s="40"/>
      <c r="AN30" s="2213">
        <f>面积表!M48</f>
        <v>1120.21</v>
      </c>
      <c r="AO30" s="40"/>
      <c r="AP30" s="40"/>
      <c r="AQ30" s="40"/>
      <c r="AR30" s="40"/>
      <c r="AS30" s="40"/>
      <c r="AT30" s="2214"/>
      <c r="AU30" s="2217"/>
      <c r="AV30" s="1795">
        <f t="shared" si="11"/>
        <v>0</v>
      </c>
      <c r="AW30" s="1795">
        <f t="shared" si="12"/>
        <v>0</v>
      </c>
      <c r="AX30" s="1795" t="str">
        <f t="shared" si="13"/>
        <v>210#研发楼（17号楼）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42.75">
      <c r="A31" s="9"/>
      <c r="B31" s="34"/>
      <c r="C31" s="2965" t="str">
        <f>面积表!E49</f>
        <v>211#研发楼（18号楼）</v>
      </c>
      <c r="D31" s="2211" t="s">
        <v>3053</v>
      </c>
      <c r="E31" s="35">
        <f t="shared" si="7"/>
        <v>4033.07</v>
      </c>
      <c r="F31" s="36"/>
      <c r="G31" s="37">
        <f t="shared" si="8"/>
        <v>18600.080000000002</v>
      </c>
      <c r="H31" s="38">
        <f t="shared" si="9"/>
        <v>17408.060000000001</v>
      </c>
      <c r="I31" s="2212">
        <f>面积表!H49</f>
        <v>16332.83</v>
      </c>
      <c r="J31" s="39"/>
      <c r="K31" s="2212">
        <f>面积表!I49</f>
        <v>1075.23</v>
      </c>
      <c r="L31" s="39"/>
      <c r="M31" s="39"/>
      <c r="N31" s="39"/>
      <c r="O31" s="39"/>
      <c r="P31" s="39"/>
      <c r="Q31" s="39"/>
      <c r="R31" s="39"/>
      <c r="S31" s="39"/>
      <c r="T31" s="39"/>
      <c r="U31" s="39"/>
      <c r="V31" s="39"/>
      <c r="W31" s="39"/>
      <c r="X31" s="39"/>
      <c r="Y31" s="39"/>
      <c r="Z31" s="39"/>
      <c r="AA31" s="39"/>
      <c r="AB31" s="39"/>
      <c r="AC31" s="35">
        <f t="shared" si="10"/>
        <v>1192.0200000000002</v>
      </c>
      <c r="AD31" s="40"/>
      <c r="AE31" s="40"/>
      <c r="AF31" s="2213"/>
      <c r="AG31" s="40"/>
      <c r="AH31" s="40"/>
      <c r="AI31" s="40"/>
      <c r="AJ31" s="40"/>
      <c r="AK31" s="40"/>
      <c r="AL31" s="2213">
        <f>面积表!L49</f>
        <v>93.89</v>
      </c>
      <c r="AM31" s="40"/>
      <c r="AN31" s="2213">
        <f>面积表!M49</f>
        <v>1098.1300000000001</v>
      </c>
      <c r="AO31" s="40"/>
      <c r="AP31" s="40"/>
      <c r="AQ31" s="40"/>
      <c r="AR31" s="40"/>
      <c r="AS31" s="40"/>
      <c r="AT31" s="2214"/>
      <c r="AU31" s="2217"/>
      <c r="AV31" s="1795">
        <f t="shared" si="11"/>
        <v>0</v>
      </c>
      <c r="AW31" s="1795">
        <f t="shared" si="12"/>
        <v>0</v>
      </c>
      <c r="AX31" s="1795" t="str">
        <f t="shared" si="13"/>
        <v>211#研发楼（18号楼）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2213"/>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2213"/>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2213"/>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2213"/>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3"/>
  <sheetViews>
    <sheetView topLeftCell="C27" workbookViewId="0">
      <selection activeCell="J54" sqref="J54"/>
    </sheetView>
  </sheetViews>
  <sheetFormatPr defaultRowHeight="12.75"/>
  <cols>
    <col min="1" max="1" width="9" style="2950"/>
    <col min="2" max="2" width="4.5" style="2950" customWidth="1"/>
    <col min="3" max="3" width="15.375" style="2950" customWidth="1"/>
    <col min="4" max="4" width="32.625" style="2950" customWidth="1"/>
    <col min="5" max="5" width="17" style="2950" customWidth="1"/>
    <col min="6" max="11" width="9" style="2950"/>
    <col min="12" max="12" width="10.5" style="2950" customWidth="1"/>
    <col min="13" max="16384" width="9" style="2950"/>
  </cols>
  <sheetData>
    <row r="2" spans="2:14">
      <c r="B2" s="3052" t="s">
        <v>3098</v>
      </c>
      <c r="C2" s="3051" t="s">
        <v>3074</v>
      </c>
      <c r="D2" s="3051" t="s">
        <v>3075</v>
      </c>
      <c r="E2" s="3051" t="s">
        <v>3076</v>
      </c>
      <c r="F2" s="3057" t="s">
        <v>3077</v>
      </c>
      <c r="G2" s="3057"/>
      <c r="H2" s="3057"/>
      <c r="I2" s="3057"/>
      <c r="J2" s="3057"/>
      <c r="K2" s="3057"/>
      <c r="L2" s="3057"/>
      <c r="M2" s="3057"/>
      <c r="N2" s="2949" t="s">
        <v>3099</v>
      </c>
    </row>
    <row r="3" spans="2:14" ht="25.5" customHeight="1">
      <c r="B3" s="3052"/>
      <c r="C3" s="3051"/>
      <c r="D3" s="3051"/>
      <c r="E3" s="3051"/>
      <c r="F3" s="3051" t="s">
        <v>3078</v>
      </c>
      <c r="G3" s="3051" t="s">
        <v>3079</v>
      </c>
      <c r="H3" s="3051"/>
      <c r="I3" s="3051"/>
      <c r="J3" s="3051"/>
      <c r="K3" s="3051" t="s">
        <v>3080</v>
      </c>
      <c r="L3" s="3051"/>
      <c r="M3" s="3051"/>
      <c r="N3" s="2949"/>
    </row>
    <row r="4" spans="2:14" ht="24">
      <c r="B4" s="3052"/>
      <c r="C4" s="3051"/>
      <c r="D4" s="3051"/>
      <c r="E4" s="3051"/>
      <c r="F4" s="3051"/>
      <c r="G4" s="1272" t="s">
        <v>3081</v>
      </c>
      <c r="H4" s="1272" t="s">
        <v>3082</v>
      </c>
      <c r="I4" s="1272" t="s">
        <v>3083</v>
      </c>
      <c r="J4" s="1272" t="s">
        <v>3084</v>
      </c>
      <c r="K4" s="1272" t="s">
        <v>3081</v>
      </c>
      <c r="L4" s="1272" t="s">
        <v>3085</v>
      </c>
      <c r="M4" s="1272" t="s">
        <v>3086</v>
      </c>
      <c r="N4" s="2949"/>
    </row>
    <row r="5" spans="2:14" ht="15" customHeight="1">
      <c r="B5" s="2949">
        <v>1</v>
      </c>
      <c r="C5" s="3048" t="s">
        <v>3100</v>
      </c>
      <c r="D5" s="3051" t="s">
        <v>3101</v>
      </c>
      <c r="E5" s="2952" t="s">
        <v>3109</v>
      </c>
      <c r="F5" s="2953">
        <f t="shared" ref="F5:F23" si="0">G5+K5</f>
        <v>18079.810000000001</v>
      </c>
      <c r="G5" s="2953">
        <f t="shared" ref="G5:G23" si="1">H5+I5+J5</f>
        <v>16969.830000000002</v>
      </c>
      <c r="H5" s="2954">
        <v>15859.85</v>
      </c>
      <c r="I5" s="2953">
        <f>2219.96/2</f>
        <v>1109.98</v>
      </c>
      <c r="J5" s="2953"/>
      <c r="K5" s="2953">
        <f t="shared" ref="K5:K23" si="2">L5+M5</f>
        <v>1109.98</v>
      </c>
      <c r="L5" s="2953"/>
      <c r="M5" s="2953">
        <f>I5</f>
        <v>1109.98</v>
      </c>
      <c r="N5" s="2953"/>
    </row>
    <row r="6" spans="2:14" ht="15.75" customHeight="1">
      <c r="B6" s="2949">
        <v>2</v>
      </c>
      <c r="C6" s="3049"/>
      <c r="D6" s="3051"/>
      <c r="E6" s="2952" t="s">
        <v>3110</v>
      </c>
      <c r="F6" s="2953">
        <f t="shared" si="0"/>
        <v>18075.91</v>
      </c>
      <c r="G6" s="2953">
        <f t="shared" si="1"/>
        <v>16966.904999999999</v>
      </c>
      <c r="H6" s="2954">
        <v>15857.9</v>
      </c>
      <c r="I6" s="2953">
        <f>2218.01/2</f>
        <v>1109.0050000000001</v>
      </c>
      <c r="J6" s="2953"/>
      <c r="K6" s="2953">
        <f t="shared" si="2"/>
        <v>1109.0050000000001</v>
      </c>
      <c r="L6" s="2953"/>
      <c r="M6" s="2953">
        <f t="shared" ref="M6:M7" si="3">I6</f>
        <v>1109.0050000000001</v>
      </c>
      <c r="N6" s="2953"/>
    </row>
    <row r="7" spans="2:14" ht="18" customHeight="1">
      <c r="B7" s="2949">
        <v>3</v>
      </c>
      <c r="C7" s="3049"/>
      <c r="D7" s="3051"/>
      <c r="E7" s="2952" t="s">
        <v>3111</v>
      </c>
      <c r="F7" s="2953">
        <f t="shared" si="0"/>
        <v>18546.57</v>
      </c>
      <c r="G7" s="2953">
        <f t="shared" si="1"/>
        <v>17469.37</v>
      </c>
      <c r="H7" s="2954">
        <v>16392.169999999998</v>
      </c>
      <c r="I7" s="2953">
        <f>2154.4/2</f>
        <v>1077.2</v>
      </c>
      <c r="J7" s="2953"/>
      <c r="K7" s="2953">
        <f t="shared" si="2"/>
        <v>1077.2</v>
      </c>
      <c r="L7" s="2953"/>
      <c r="M7" s="2953">
        <f t="shared" si="3"/>
        <v>1077.2</v>
      </c>
      <c r="N7" s="2953"/>
    </row>
    <row r="8" spans="2:14" ht="17.25" customHeight="1">
      <c r="B8" s="2949">
        <v>4</v>
      </c>
      <c r="C8" s="3049"/>
      <c r="D8" s="3051"/>
      <c r="E8" s="1272" t="s">
        <v>3087</v>
      </c>
      <c r="F8" s="2949">
        <f t="shared" si="0"/>
        <v>17064.189999999999</v>
      </c>
      <c r="G8" s="2949">
        <f t="shared" si="1"/>
        <v>17064.189999999999</v>
      </c>
      <c r="H8" s="2949">
        <v>15857.9</v>
      </c>
      <c r="I8" s="2949">
        <f>2218.01-N8</f>
        <v>1206.2900000000002</v>
      </c>
      <c r="J8" s="2949"/>
      <c r="K8" s="2949">
        <f t="shared" si="2"/>
        <v>0</v>
      </c>
      <c r="L8" s="2949"/>
      <c r="M8" s="2949"/>
      <c r="N8" s="2949">
        <v>1011.72</v>
      </c>
    </row>
    <row r="9" spans="2:14" ht="15.75" customHeight="1">
      <c r="B9" s="2949">
        <v>5</v>
      </c>
      <c r="C9" s="3049"/>
      <c r="D9" s="3051"/>
      <c r="E9" s="1272" t="s">
        <v>3088</v>
      </c>
      <c r="F9" s="2949">
        <f t="shared" si="0"/>
        <v>17058.560000000001</v>
      </c>
      <c r="G9" s="2949">
        <f t="shared" si="1"/>
        <v>17058.560000000001</v>
      </c>
      <c r="H9" s="2949">
        <v>15859.85</v>
      </c>
      <c r="I9" s="2949">
        <f>2219.96-N9</f>
        <v>1198.71</v>
      </c>
      <c r="J9" s="2949"/>
      <c r="K9" s="2949">
        <f t="shared" si="2"/>
        <v>0</v>
      </c>
      <c r="L9" s="2949"/>
      <c r="M9" s="2949"/>
      <c r="N9" s="2949">
        <v>1021.25</v>
      </c>
    </row>
    <row r="10" spans="2:14" ht="15.75" customHeight="1">
      <c r="B10" s="2949">
        <v>6</v>
      </c>
      <c r="C10" s="3049"/>
      <c r="D10" s="3051"/>
      <c r="E10" s="1272" t="s">
        <v>3066</v>
      </c>
      <c r="F10" s="2949">
        <f t="shared" si="0"/>
        <v>1638.94</v>
      </c>
      <c r="G10" s="2949">
        <f t="shared" si="1"/>
        <v>1638.94</v>
      </c>
      <c r="H10" s="2949">
        <v>1638.94</v>
      </c>
      <c r="I10" s="2949"/>
      <c r="J10" s="2949"/>
      <c r="K10" s="2949">
        <f t="shared" si="2"/>
        <v>0</v>
      </c>
      <c r="L10" s="2949"/>
      <c r="M10" s="2949"/>
      <c r="N10" s="2949"/>
    </row>
    <row r="11" spans="2:14" ht="16.5" customHeight="1">
      <c r="B11" s="2949">
        <v>7</v>
      </c>
      <c r="C11" s="3049"/>
      <c r="D11" s="3051" t="s">
        <v>3071</v>
      </c>
      <c r="E11" s="1272" t="s">
        <v>3102</v>
      </c>
      <c r="F11" s="2949">
        <f t="shared" si="0"/>
        <v>18546.57</v>
      </c>
      <c r="G11" s="2949">
        <f t="shared" si="1"/>
        <v>16726.439999999999</v>
      </c>
      <c r="H11" s="2949">
        <v>16392.169999999998</v>
      </c>
      <c r="I11" s="2949">
        <f>2154.4-K11</f>
        <v>334.27</v>
      </c>
      <c r="J11" s="2949"/>
      <c r="K11" s="2949">
        <f t="shared" si="2"/>
        <v>1820.13</v>
      </c>
      <c r="L11" s="2949">
        <v>785.1</v>
      </c>
      <c r="M11" s="2949">
        <v>1035.03</v>
      </c>
      <c r="N11" s="2949"/>
    </row>
    <row r="12" spans="2:14">
      <c r="B12" s="2949">
        <v>8</v>
      </c>
      <c r="C12" s="3049"/>
      <c r="D12" s="3051"/>
      <c r="E12" s="1272" t="s">
        <v>3089</v>
      </c>
      <c r="F12" s="2949">
        <f t="shared" si="0"/>
        <v>18075.91</v>
      </c>
      <c r="G12" s="2949">
        <f t="shared" si="1"/>
        <v>17044.62</v>
      </c>
      <c r="H12" s="2949">
        <v>15857.9</v>
      </c>
      <c r="I12" s="2949">
        <f>2218.01-K12</f>
        <v>1186.7200000000003</v>
      </c>
      <c r="J12" s="2949"/>
      <c r="K12" s="2949">
        <f t="shared" si="2"/>
        <v>1031.29</v>
      </c>
      <c r="L12" s="2949"/>
      <c r="M12" s="2949">
        <v>1031.29</v>
      </c>
      <c r="N12" s="2949"/>
    </row>
    <row r="13" spans="2:14">
      <c r="B13" s="2949">
        <v>9</v>
      </c>
      <c r="C13" s="3049"/>
      <c r="D13" s="3051"/>
      <c r="E13" s="1272" t="s">
        <v>3090</v>
      </c>
      <c r="F13" s="2949">
        <f t="shared" si="0"/>
        <v>18079.810000000001</v>
      </c>
      <c r="G13" s="2949">
        <f t="shared" si="1"/>
        <v>17048.52</v>
      </c>
      <c r="H13" s="2949">
        <v>15859.85</v>
      </c>
      <c r="I13" s="2949">
        <f>2219.96-K13</f>
        <v>1188.67</v>
      </c>
      <c r="J13" s="2949"/>
      <c r="K13" s="2949">
        <f t="shared" si="2"/>
        <v>1031.29</v>
      </c>
      <c r="L13" s="2949"/>
      <c r="M13" s="2949">
        <v>1031.29</v>
      </c>
      <c r="N13" s="2949"/>
    </row>
    <row r="14" spans="2:14">
      <c r="B14" s="2949">
        <v>10</v>
      </c>
      <c r="C14" s="3049"/>
      <c r="D14" s="2949" t="s">
        <v>3103</v>
      </c>
      <c r="E14" s="1272" t="s">
        <v>3104</v>
      </c>
      <c r="F14" s="2949">
        <f t="shared" si="0"/>
        <v>18178.59</v>
      </c>
      <c r="G14" s="2949">
        <f t="shared" si="1"/>
        <v>18178.59</v>
      </c>
      <c r="H14" s="2949"/>
      <c r="I14" s="2949"/>
      <c r="J14" s="2949">
        <v>18178.59</v>
      </c>
      <c r="K14" s="2949">
        <f t="shared" si="2"/>
        <v>0</v>
      </c>
      <c r="L14" s="2949"/>
      <c r="M14" s="2949"/>
      <c r="N14" s="2949"/>
    </row>
    <row r="15" spans="2:14">
      <c r="B15" s="2949">
        <v>11</v>
      </c>
      <c r="C15" s="3049"/>
      <c r="D15" s="3052" t="s">
        <v>3105</v>
      </c>
      <c r="E15" s="1272" t="s">
        <v>3106</v>
      </c>
      <c r="F15" s="2949">
        <f t="shared" si="0"/>
        <v>18079.810000000001</v>
      </c>
      <c r="G15" s="2949">
        <f t="shared" si="1"/>
        <v>17048.52</v>
      </c>
      <c r="H15" s="2949">
        <v>15859.85</v>
      </c>
      <c r="I15" s="2949">
        <f>2219.96-K15</f>
        <v>1188.67</v>
      </c>
      <c r="J15" s="2949"/>
      <c r="K15" s="2949">
        <f t="shared" si="2"/>
        <v>1031.29</v>
      </c>
      <c r="L15" s="2949"/>
      <c r="M15" s="2949">
        <v>1031.29</v>
      </c>
      <c r="N15" s="2949"/>
    </row>
    <row r="16" spans="2:14">
      <c r="B16" s="2949">
        <v>12</v>
      </c>
      <c r="C16" s="3049"/>
      <c r="D16" s="3052"/>
      <c r="E16" s="1272" t="s">
        <v>3091</v>
      </c>
      <c r="F16" s="2949">
        <f t="shared" si="0"/>
        <v>18075.91</v>
      </c>
      <c r="G16" s="2949">
        <f t="shared" si="1"/>
        <v>17044.62</v>
      </c>
      <c r="H16" s="2949">
        <v>15857.9</v>
      </c>
      <c r="I16" s="2949">
        <f>2218.01-K16</f>
        <v>1186.7200000000003</v>
      </c>
      <c r="J16" s="2949"/>
      <c r="K16" s="2949">
        <f t="shared" si="2"/>
        <v>1031.29</v>
      </c>
      <c r="L16" s="2949"/>
      <c r="M16" s="2949">
        <v>1031.29</v>
      </c>
      <c r="N16" s="2949"/>
    </row>
    <row r="17" spans="2:14">
      <c r="B17" s="2949">
        <v>13</v>
      </c>
      <c r="C17" s="3049"/>
      <c r="D17" s="3052"/>
      <c r="E17" s="1272" t="s">
        <v>3092</v>
      </c>
      <c r="F17" s="2949">
        <f t="shared" si="0"/>
        <v>18546.57</v>
      </c>
      <c r="G17" s="2949">
        <f t="shared" si="1"/>
        <v>16726.439999999999</v>
      </c>
      <c r="H17" s="2949">
        <v>16392.169999999998</v>
      </c>
      <c r="I17" s="2949">
        <f>2154.4-K17</f>
        <v>334.27</v>
      </c>
      <c r="J17" s="2949"/>
      <c r="K17" s="2949">
        <f t="shared" si="2"/>
        <v>1820.13</v>
      </c>
      <c r="L17" s="2949">
        <v>785.1</v>
      </c>
      <c r="M17" s="2949">
        <v>1035.03</v>
      </c>
      <c r="N17" s="2949"/>
    </row>
    <row r="18" spans="2:14">
      <c r="B18" s="2949">
        <v>14</v>
      </c>
      <c r="C18" s="3049"/>
      <c r="D18" s="3053" t="s">
        <v>3107</v>
      </c>
      <c r="E18" s="1272" t="s">
        <v>3093</v>
      </c>
      <c r="F18" s="2949">
        <f t="shared" si="0"/>
        <v>16996.150000000001</v>
      </c>
      <c r="G18" s="2949">
        <f t="shared" si="1"/>
        <v>16996.150000000001</v>
      </c>
      <c r="H18" s="2949">
        <v>15857.9</v>
      </c>
      <c r="I18" s="2949">
        <f>2218.01-N18</f>
        <v>1138.2500000000002</v>
      </c>
      <c r="J18" s="2949"/>
      <c r="K18" s="2949">
        <f t="shared" si="2"/>
        <v>0</v>
      </c>
      <c r="L18" s="2949"/>
      <c r="M18" s="2949"/>
      <c r="N18" s="2949">
        <v>1079.76</v>
      </c>
    </row>
    <row r="19" spans="2:14">
      <c r="B19" s="2949">
        <v>15</v>
      </c>
      <c r="C19" s="3049"/>
      <c r="D19" s="3054"/>
      <c r="E19" s="1272" t="s">
        <v>3094</v>
      </c>
      <c r="F19" s="2949">
        <f t="shared" si="0"/>
        <v>16984.690000000002</v>
      </c>
      <c r="G19" s="2949">
        <f t="shared" si="1"/>
        <v>16984.690000000002</v>
      </c>
      <c r="H19" s="2949">
        <v>15859.85</v>
      </c>
      <c r="I19" s="2949">
        <f>2219.96-N19</f>
        <v>1124.8400000000001</v>
      </c>
      <c r="J19" s="2949"/>
      <c r="K19" s="2949">
        <f t="shared" si="2"/>
        <v>0</v>
      </c>
      <c r="L19" s="2949"/>
      <c r="M19" s="2949"/>
      <c r="N19" s="2949">
        <v>1095.1199999999999</v>
      </c>
    </row>
    <row r="20" spans="2:14">
      <c r="B20" s="2949">
        <v>16</v>
      </c>
      <c r="C20" s="3049"/>
      <c r="D20" s="3054"/>
      <c r="E20" s="1272" t="s">
        <v>3095</v>
      </c>
      <c r="F20" s="2949">
        <f t="shared" si="0"/>
        <v>17439.57</v>
      </c>
      <c r="G20" s="2949">
        <f t="shared" si="1"/>
        <v>17439.57</v>
      </c>
      <c r="H20" s="2951">
        <v>16392.169999999998</v>
      </c>
      <c r="I20" s="2949">
        <f>2154.4-N20</f>
        <v>1047.4000000000001</v>
      </c>
      <c r="J20" s="2949"/>
      <c r="K20" s="2949">
        <f t="shared" si="2"/>
        <v>0</v>
      </c>
      <c r="L20" s="2949"/>
      <c r="M20" s="2949"/>
      <c r="N20" s="2949">
        <v>1107</v>
      </c>
    </row>
    <row r="21" spans="2:14">
      <c r="B21" s="2949">
        <v>17</v>
      </c>
      <c r="C21" s="3049"/>
      <c r="D21" s="3054"/>
      <c r="E21" s="1272" t="s">
        <v>3096</v>
      </c>
      <c r="F21" s="2949">
        <f t="shared" si="0"/>
        <v>17006.2</v>
      </c>
      <c r="G21" s="2949">
        <f t="shared" si="1"/>
        <v>17006.2</v>
      </c>
      <c r="H21" s="2951">
        <v>15857.9</v>
      </c>
      <c r="I21" s="2949">
        <f>2218.01-N21</f>
        <v>1148.3000000000002</v>
      </c>
      <c r="J21" s="2949"/>
      <c r="K21" s="2949">
        <f t="shared" si="2"/>
        <v>0</v>
      </c>
      <c r="L21" s="2949"/>
      <c r="M21" s="2949"/>
      <c r="N21" s="2949">
        <v>1069.71</v>
      </c>
    </row>
    <row r="22" spans="2:14">
      <c r="B22" s="2949">
        <v>18</v>
      </c>
      <c r="C22" s="3049"/>
      <c r="D22" s="3054"/>
      <c r="E22" s="1272" t="s">
        <v>3097</v>
      </c>
      <c r="F22" s="2949">
        <f t="shared" si="0"/>
        <v>17002.98</v>
      </c>
      <c r="G22" s="2949">
        <f t="shared" si="1"/>
        <v>17002.98</v>
      </c>
      <c r="H22" s="2951">
        <v>15859.85</v>
      </c>
      <c r="I22" s="2949">
        <f>2219.96-N22</f>
        <v>1143.1300000000001</v>
      </c>
      <c r="J22" s="2949"/>
      <c r="K22" s="2949">
        <f t="shared" si="2"/>
        <v>0</v>
      </c>
      <c r="L22" s="2949"/>
      <c r="M22" s="2949"/>
      <c r="N22" s="2949">
        <v>1076.83</v>
      </c>
    </row>
    <row r="23" spans="2:14">
      <c r="B23" s="2949">
        <v>19</v>
      </c>
      <c r="C23" s="3050"/>
      <c r="D23" s="3055"/>
      <c r="E23" s="1272" t="s">
        <v>3108</v>
      </c>
      <c r="F23" s="2949">
        <f t="shared" si="0"/>
        <v>1638.94</v>
      </c>
      <c r="G23" s="2949">
        <f t="shared" si="1"/>
        <v>1638.94</v>
      </c>
      <c r="H23" s="2951">
        <v>1638.94</v>
      </c>
      <c r="I23" s="2949"/>
      <c r="J23" s="2949"/>
      <c r="K23" s="2949">
        <f t="shared" si="2"/>
        <v>0</v>
      </c>
      <c r="L23" s="2949"/>
      <c r="M23" s="2949"/>
      <c r="N23" s="2949"/>
    </row>
    <row r="28" spans="2:14">
      <c r="B28" s="3047" t="s">
        <v>3194</v>
      </c>
      <c r="C28" s="3047" t="s">
        <v>3195</v>
      </c>
      <c r="D28" s="3052" t="s">
        <v>3193</v>
      </c>
      <c r="E28" s="3052" t="s">
        <v>3156</v>
      </c>
      <c r="F28" s="3057" t="s">
        <v>3077</v>
      </c>
      <c r="G28" s="3057"/>
      <c r="H28" s="3057"/>
      <c r="I28" s="3057"/>
      <c r="J28" s="3057"/>
      <c r="K28" s="3057"/>
      <c r="L28" s="3057"/>
      <c r="M28" s="3057"/>
      <c r="N28" s="2949" t="s">
        <v>3099</v>
      </c>
    </row>
    <row r="29" spans="2:14">
      <c r="B29" s="3047"/>
      <c r="C29" s="3047"/>
      <c r="D29" s="3052"/>
      <c r="E29" s="3052"/>
      <c r="F29" s="3051" t="s">
        <v>3078</v>
      </c>
      <c r="G29" s="3051" t="s">
        <v>3079</v>
      </c>
      <c r="H29" s="3051"/>
      <c r="I29" s="3051"/>
      <c r="J29" s="3051"/>
      <c r="K29" s="3051" t="s">
        <v>3080</v>
      </c>
      <c r="L29" s="3051"/>
      <c r="M29" s="3051"/>
      <c r="N29" s="2949"/>
    </row>
    <row r="30" spans="2:14" ht="24">
      <c r="B30" s="3047"/>
      <c r="C30" s="3047"/>
      <c r="D30" s="3052"/>
      <c r="E30" s="3052"/>
      <c r="F30" s="3051"/>
      <c r="G30" s="2965" t="s">
        <v>3081</v>
      </c>
      <c r="H30" s="2965" t="s">
        <v>3082</v>
      </c>
      <c r="I30" s="2965" t="s">
        <v>3083</v>
      </c>
      <c r="J30" s="2965" t="s">
        <v>3084</v>
      </c>
      <c r="K30" s="2965" t="s">
        <v>3081</v>
      </c>
      <c r="L30" s="2968" t="s">
        <v>3190</v>
      </c>
      <c r="M30" s="2965" t="s">
        <v>3086</v>
      </c>
      <c r="N30" s="2949"/>
    </row>
    <row r="31" spans="2:14">
      <c r="B31" s="2949">
        <v>1</v>
      </c>
      <c r="C31" s="3048" t="s">
        <v>3196</v>
      </c>
      <c r="D31" s="2967" t="s">
        <v>3160</v>
      </c>
      <c r="E31" s="2949" t="s">
        <v>3161</v>
      </c>
      <c r="F31" s="2949">
        <f t="shared" ref="F31:F49" si="4">G31+K31</f>
        <v>18546.569999999996</v>
      </c>
      <c r="G31" s="2949">
        <f t="shared" ref="G31:G49" si="5">H31+I31+J31</f>
        <v>17511.539999999997</v>
      </c>
      <c r="H31" s="2949">
        <v>16392.169999999998</v>
      </c>
      <c r="I31" s="2949">
        <v>1119.3700000000001</v>
      </c>
      <c r="J31" s="2949"/>
      <c r="K31" s="2949">
        <f t="shared" ref="K31:K49" si="6">L31+M31</f>
        <v>1035.03</v>
      </c>
      <c r="L31" s="2949"/>
      <c r="M31" s="2949">
        <v>1035.03</v>
      </c>
      <c r="N31" s="2949"/>
    </row>
    <row r="32" spans="2:14">
      <c r="B32" s="2949">
        <v>2</v>
      </c>
      <c r="C32" s="3049"/>
      <c r="D32" s="2967" t="s">
        <v>3178</v>
      </c>
      <c r="E32" s="2949" t="s">
        <v>3172</v>
      </c>
      <c r="F32" s="2949">
        <f t="shared" si="4"/>
        <v>18095.78</v>
      </c>
      <c r="G32" s="2949">
        <f t="shared" si="5"/>
        <v>16871.11</v>
      </c>
      <c r="H32" s="2949">
        <v>15791.15</v>
      </c>
      <c r="I32" s="2949">
        <v>1079.96</v>
      </c>
      <c r="J32" s="2949"/>
      <c r="K32" s="2949">
        <f t="shared" si="6"/>
        <v>1224.67</v>
      </c>
      <c r="L32" s="2949">
        <v>104.46</v>
      </c>
      <c r="M32" s="2949">
        <v>1120.21</v>
      </c>
      <c r="N32" s="2949"/>
    </row>
    <row r="33" spans="2:14">
      <c r="B33" s="2949">
        <v>3</v>
      </c>
      <c r="C33" s="3049"/>
      <c r="D33" s="2967" t="s">
        <v>3179</v>
      </c>
      <c r="E33" s="2949" t="s">
        <v>3173</v>
      </c>
      <c r="F33" s="2949">
        <f t="shared" si="4"/>
        <v>18177.689999999999</v>
      </c>
      <c r="G33" s="2949">
        <f t="shared" si="5"/>
        <v>16941.759999999998</v>
      </c>
      <c r="H33" s="2949">
        <v>15855.97</v>
      </c>
      <c r="I33" s="2949">
        <v>1085.79</v>
      </c>
      <c r="J33" s="2949"/>
      <c r="K33" s="2949">
        <f t="shared" si="6"/>
        <v>1235.93</v>
      </c>
      <c r="L33" s="2949">
        <v>104.46</v>
      </c>
      <c r="M33" s="2949">
        <v>1131.47</v>
      </c>
      <c r="N33" s="2949"/>
    </row>
    <row r="34" spans="2:14" ht="12.75" customHeight="1">
      <c r="B34" s="2949">
        <v>4</v>
      </c>
      <c r="C34" s="3049"/>
      <c r="D34" s="3056" t="s">
        <v>3162</v>
      </c>
      <c r="E34" s="2949" t="s">
        <v>3163</v>
      </c>
      <c r="F34" s="2949">
        <f t="shared" si="4"/>
        <v>18075.91</v>
      </c>
      <c r="G34" s="2949">
        <f t="shared" si="5"/>
        <v>16966.91</v>
      </c>
      <c r="H34" s="2949">
        <v>15857.9</v>
      </c>
      <c r="I34" s="2949">
        <f>ROUND(2218.01/2,2)</f>
        <v>1109.01</v>
      </c>
      <c r="J34" s="2949"/>
      <c r="K34" s="2949">
        <f t="shared" si="6"/>
        <v>1109.0000000000002</v>
      </c>
      <c r="L34" s="2949"/>
      <c r="M34" s="2949">
        <f>2218.01-I34</f>
        <v>1109.0000000000002</v>
      </c>
      <c r="N34" s="2949"/>
    </row>
    <row r="35" spans="2:14" ht="12.75" customHeight="1">
      <c r="B35" s="2949">
        <v>5</v>
      </c>
      <c r="C35" s="3049"/>
      <c r="D35" s="3056"/>
      <c r="E35" s="2949" t="s">
        <v>3157</v>
      </c>
      <c r="F35" s="2949">
        <f t="shared" si="4"/>
        <v>18079.810000000001</v>
      </c>
      <c r="G35" s="2949">
        <f t="shared" si="5"/>
        <v>16969.830000000002</v>
      </c>
      <c r="H35" s="2949">
        <v>15859.85</v>
      </c>
      <c r="I35" s="2949">
        <f>ROUND(2219.96/2,2)</f>
        <v>1109.98</v>
      </c>
      <c r="J35" s="2949"/>
      <c r="K35" s="2949">
        <f t="shared" si="6"/>
        <v>1109.98</v>
      </c>
      <c r="L35" s="2949"/>
      <c r="M35" s="2949">
        <f>2219.96-I35</f>
        <v>1109.98</v>
      </c>
      <c r="N35" s="2949"/>
    </row>
    <row r="36" spans="2:14">
      <c r="B36" s="2949">
        <v>6</v>
      </c>
      <c r="C36" s="3049"/>
      <c r="D36" s="2967" t="s">
        <v>3185</v>
      </c>
      <c r="E36" s="2949" t="s">
        <v>3177</v>
      </c>
      <c r="F36" s="2949">
        <f t="shared" si="4"/>
        <v>17426.190000000002</v>
      </c>
      <c r="G36" s="2949">
        <f t="shared" si="5"/>
        <v>17335.580000000002</v>
      </c>
      <c r="H36" s="2949">
        <v>16304</v>
      </c>
      <c r="I36" s="2949">
        <v>1031.58</v>
      </c>
      <c r="J36" s="2949"/>
      <c r="K36" s="2949">
        <f t="shared" si="6"/>
        <v>90.61</v>
      </c>
      <c r="L36" s="2949">
        <v>90.61</v>
      </c>
      <c r="M36" s="2949"/>
      <c r="N36" s="2949">
        <v>1136.58</v>
      </c>
    </row>
    <row r="37" spans="2:14">
      <c r="B37" s="2949">
        <v>7</v>
      </c>
      <c r="C37" s="3049"/>
      <c r="D37" s="2967" t="s">
        <v>3186</v>
      </c>
      <c r="E37" s="2949" t="s">
        <v>3176</v>
      </c>
      <c r="F37" s="2949">
        <f t="shared" si="4"/>
        <v>16590.95</v>
      </c>
      <c r="G37" s="2949">
        <f t="shared" si="5"/>
        <v>16500.91</v>
      </c>
      <c r="H37" s="2949">
        <v>15475.94</v>
      </c>
      <c r="I37" s="2949">
        <v>1024.97</v>
      </c>
      <c r="J37" s="2949"/>
      <c r="K37" s="2949">
        <f t="shared" si="6"/>
        <v>90.04</v>
      </c>
      <c r="L37" s="2949">
        <v>90.04</v>
      </c>
      <c r="M37" s="2949"/>
      <c r="N37" s="2949">
        <v>1072.5</v>
      </c>
    </row>
    <row r="38" spans="2:14">
      <c r="B38" s="2949">
        <v>8</v>
      </c>
      <c r="C38" s="3049"/>
      <c r="D38" s="2967" t="s">
        <v>3187</v>
      </c>
      <c r="E38" s="2949" t="s">
        <v>3175</v>
      </c>
      <c r="F38" s="2949">
        <f t="shared" si="4"/>
        <v>16574.28</v>
      </c>
      <c r="G38" s="2949">
        <f t="shared" si="5"/>
        <v>16484.62</v>
      </c>
      <c r="H38" s="2949">
        <v>15377.83</v>
      </c>
      <c r="I38" s="2949">
        <v>1106.79</v>
      </c>
      <c r="J38" s="2949"/>
      <c r="K38" s="2949">
        <f t="shared" si="6"/>
        <v>89.66</v>
      </c>
      <c r="L38" s="2949">
        <f>101.88-12.22</f>
        <v>89.66</v>
      </c>
      <c r="M38" s="2949"/>
      <c r="N38" s="2949">
        <v>1131.67</v>
      </c>
    </row>
    <row r="39" spans="2:14">
      <c r="B39" s="2949">
        <v>9</v>
      </c>
      <c r="C39" s="3049"/>
      <c r="D39" s="2967" t="s">
        <v>3188</v>
      </c>
      <c r="E39" s="2949" t="s">
        <v>3164</v>
      </c>
      <c r="F39" s="2949">
        <f t="shared" si="4"/>
        <v>1638.94</v>
      </c>
      <c r="G39" s="2949">
        <f t="shared" si="5"/>
        <v>1638.94</v>
      </c>
      <c r="H39" s="2949">
        <v>1638.94</v>
      </c>
      <c r="I39" s="2949"/>
      <c r="J39" s="2949"/>
      <c r="K39" s="2949">
        <f t="shared" si="6"/>
        <v>0</v>
      </c>
      <c r="L39" s="2949"/>
      <c r="M39" s="2949"/>
      <c r="N39" s="2949"/>
    </row>
    <row r="40" spans="2:14">
      <c r="B40" s="2949">
        <v>10</v>
      </c>
      <c r="C40" s="3049"/>
      <c r="D40" s="2967" t="s">
        <v>3165</v>
      </c>
      <c r="E40" s="2949" t="s">
        <v>3166</v>
      </c>
      <c r="F40" s="2949">
        <f t="shared" si="4"/>
        <v>18596.150000000001</v>
      </c>
      <c r="G40" s="2949">
        <f t="shared" si="5"/>
        <v>18596.150000000001</v>
      </c>
      <c r="H40" s="2949"/>
      <c r="I40" s="2949"/>
      <c r="J40" s="2949">
        <v>18596.150000000001</v>
      </c>
      <c r="K40" s="2949">
        <f t="shared" si="6"/>
        <v>0</v>
      </c>
      <c r="L40" s="2949"/>
      <c r="M40" s="2949"/>
      <c r="N40" s="2949"/>
    </row>
    <row r="41" spans="2:14">
      <c r="B41" s="2949">
        <v>11</v>
      </c>
      <c r="C41" s="3049"/>
      <c r="D41" s="2967" t="s">
        <v>3183</v>
      </c>
      <c r="E41" s="2949" t="s">
        <v>3171</v>
      </c>
      <c r="F41" s="2949">
        <f t="shared" si="4"/>
        <v>17905.62</v>
      </c>
      <c r="G41" s="2949">
        <f t="shared" si="5"/>
        <v>16666.059999999998</v>
      </c>
      <c r="H41" s="2949">
        <v>15586.38</v>
      </c>
      <c r="I41" s="2949">
        <v>1079.68</v>
      </c>
      <c r="J41" s="2949"/>
      <c r="K41" s="2949">
        <f t="shared" si="6"/>
        <v>1239.56</v>
      </c>
      <c r="L41" s="2949">
        <v>176.95</v>
      </c>
      <c r="M41" s="2949">
        <v>1062.6099999999999</v>
      </c>
      <c r="N41" s="2949"/>
    </row>
    <row r="42" spans="2:14">
      <c r="B42" s="2949">
        <v>12</v>
      </c>
      <c r="C42" s="3049"/>
      <c r="D42" s="2967" t="s">
        <v>3184</v>
      </c>
      <c r="E42" s="2949" t="s">
        <v>3170</v>
      </c>
      <c r="F42" s="2949">
        <f t="shared" si="4"/>
        <v>17823.73</v>
      </c>
      <c r="G42" s="2949">
        <f t="shared" si="5"/>
        <v>16707.43</v>
      </c>
      <c r="H42" s="2949">
        <v>15693.66</v>
      </c>
      <c r="I42" s="2949">
        <v>1013.77</v>
      </c>
      <c r="J42" s="2949"/>
      <c r="K42" s="2949">
        <f t="shared" si="6"/>
        <v>1116.3</v>
      </c>
      <c r="L42" s="2949">
        <v>113.01</v>
      </c>
      <c r="M42" s="2949">
        <v>1003.29</v>
      </c>
      <c r="N42" s="2949"/>
    </row>
    <row r="43" spans="2:14">
      <c r="B43" s="2949">
        <v>13</v>
      </c>
      <c r="C43" s="3049"/>
      <c r="D43" s="2967" t="s">
        <v>3204</v>
      </c>
      <c r="E43" s="2949" t="s">
        <v>3169</v>
      </c>
      <c r="F43" s="2949">
        <f t="shared" si="4"/>
        <v>18409.830000000002</v>
      </c>
      <c r="G43" s="2949">
        <f t="shared" si="5"/>
        <v>17305.04</v>
      </c>
      <c r="H43" s="2949">
        <v>16281.58</v>
      </c>
      <c r="I43" s="2949">
        <v>1023.46</v>
      </c>
      <c r="J43" s="2949"/>
      <c r="K43" s="2949">
        <f t="shared" si="6"/>
        <v>1104.79</v>
      </c>
      <c r="L43" s="2949">
        <v>90.18</v>
      </c>
      <c r="M43" s="2949">
        <v>1014.61</v>
      </c>
      <c r="N43" s="2949"/>
    </row>
    <row r="44" spans="2:14">
      <c r="B44" s="2949">
        <v>14</v>
      </c>
      <c r="C44" s="3049"/>
      <c r="D44" s="3056" t="s">
        <v>3167</v>
      </c>
      <c r="E44" s="2949" t="s">
        <v>3158</v>
      </c>
      <c r="F44" s="2949">
        <f t="shared" si="4"/>
        <v>18075.91</v>
      </c>
      <c r="G44" s="2949">
        <f t="shared" si="5"/>
        <v>17044.62</v>
      </c>
      <c r="H44" s="2949">
        <v>15857.9</v>
      </c>
      <c r="I44" s="2949">
        <v>1186.7200000000003</v>
      </c>
      <c r="J44" s="2949"/>
      <c r="K44" s="2949">
        <f t="shared" si="6"/>
        <v>1031.29</v>
      </c>
      <c r="L44" s="2949"/>
      <c r="M44" s="2949">
        <v>1031.29</v>
      </c>
      <c r="N44" s="2949"/>
    </row>
    <row r="45" spans="2:14">
      <c r="B45" s="2949">
        <v>15</v>
      </c>
      <c r="C45" s="3049"/>
      <c r="D45" s="3056"/>
      <c r="E45" s="2949" t="s">
        <v>3159</v>
      </c>
      <c r="F45" s="2949">
        <f t="shared" si="4"/>
        <v>18079.810000000001</v>
      </c>
      <c r="G45" s="2949">
        <f t="shared" si="5"/>
        <v>17048.52</v>
      </c>
      <c r="H45" s="2949">
        <v>15859.85</v>
      </c>
      <c r="I45" s="2949">
        <v>1188.67</v>
      </c>
      <c r="J45" s="2949"/>
      <c r="K45" s="2949">
        <f t="shared" si="6"/>
        <v>1031.29</v>
      </c>
      <c r="L45" s="2949"/>
      <c r="M45" s="2949">
        <v>1031.29</v>
      </c>
      <c r="N45" s="2949"/>
    </row>
    <row r="46" spans="2:14">
      <c r="B46" s="2949">
        <v>16</v>
      </c>
      <c r="C46" s="3049"/>
      <c r="D46" s="3056"/>
      <c r="E46" s="2949" t="s">
        <v>3168</v>
      </c>
      <c r="F46" s="2949">
        <f t="shared" si="4"/>
        <v>1407.71</v>
      </c>
      <c r="G46" s="2949">
        <f t="shared" si="5"/>
        <v>1407.71</v>
      </c>
      <c r="H46" s="2949">
        <v>1407.71</v>
      </c>
      <c r="I46" s="2949"/>
      <c r="J46" s="2949"/>
      <c r="K46" s="2949">
        <f t="shared" si="6"/>
        <v>0</v>
      </c>
      <c r="L46" s="2949"/>
      <c r="M46" s="2949"/>
      <c r="N46" s="2949"/>
    </row>
    <row r="47" spans="2:14">
      <c r="B47" s="2949">
        <v>17</v>
      </c>
      <c r="C47" s="3049"/>
      <c r="D47" s="2967" t="s">
        <v>3180</v>
      </c>
      <c r="E47" s="2949" t="s">
        <v>3174</v>
      </c>
      <c r="F47" s="2949">
        <f t="shared" si="4"/>
        <v>18177.689999999999</v>
      </c>
      <c r="G47" s="2949">
        <f t="shared" si="5"/>
        <v>16941.759999999998</v>
      </c>
      <c r="H47" s="2949">
        <v>15855.97</v>
      </c>
      <c r="I47" s="2949">
        <v>1085.79</v>
      </c>
      <c r="J47" s="2949"/>
      <c r="K47" s="2949">
        <f t="shared" si="6"/>
        <v>1235.93</v>
      </c>
      <c r="L47" s="2949">
        <v>104.46</v>
      </c>
      <c r="M47" s="2949">
        <v>1131.47</v>
      </c>
      <c r="N47" s="2949"/>
    </row>
    <row r="48" spans="2:14">
      <c r="B48" s="2949">
        <v>18</v>
      </c>
      <c r="C48" s="3049"/>
      <c r="D48" s="2967" t="s">
        <v>3181</v>
      </c>
      <c r="E48" s="2949" t="s">
        <v>3191</v>
      </c>
      <c r="F48" s="2949">
        <f t="shared" si="4"/>
        <v>18095.78</v>
      </c>
      <c r="G48" s="2949">
        <f t="shared" si="5"/>
        <v>16871.11</v>
      </c>
      <c r="H48" s="2949">
        <v>15791.15</v>
      </c>
      <c r="I48" s="2949">
        <v>1079.96</v>
      </c>
      <c r="J48" s="2949"/>
      <c r="K48" s="2949">
        <f t="shared" si="6"/>
        <v>1224.67</v>
      </c>
      <c r="L48" s="2949">
        <v>104.46</v>
      </c>
      <c r="M48" s="2949">
        <v>1120.21</v>
      </c>
      <c r="N48" s="2949"/>
    </row>
    <row r="49" spans="2:14">
      <c r="B49" s="2949">
        <v>19</v>
      </c>
      <c r="C49" s="3050"/>
      <c r="D49" s="2967" t="s">
        <v>3182</v>
      </c>
      <c r="E49" s="2949" t="s">
        <v>3192</v>
      </c>
      <c r="F49" s="2949">
        <f t="shared" si="4"/>
        <v>18600.080000000002</v>
      </c>
      <c r="G49" s="2949">
        <f t="shared" si="5"/>
        <v>17408.060000000001</v>
      </c>
      <c r="H49" s="2949">
        <v>16332.83</v>
      </c>
      <c r="I49" s="2949">
        <v>1075.23</v>
      </c>
      <c r="J49" s="2949"/>
      <c r="K49" s="2949">
        <f t="shared" si="6"/>
        <v>1192.0200000000002</v>
      </c>
      <c r="L49" s="2949">
        <v>93.89</v>
      </c>
      <c r="M49" s="2949">
        <v>1098.1300000000001</v>
      </c>
      <c r="N49" s="2949"/>
    </row>
    <row r="52" spans="2:14" ht="24">
      <c r="G52" s="2969" t="s">
        <v>3197</v>
      </c>
      <c r="H52" s="2970">
        <f>H32+H33+H36+H37+H38+H41+H42+H43+H47+H48+H49</f>
        <v>174346.46</v>
      </c>
    </row>
    <row r="53" spans="2:14" ht="24">
      <c r="G53" s="2969" t="s">
        <v>3198</v>
      </c>
      <c r="H53" s="2970">
        <f>I32+I33+I36+I37+I38+I41+I42+I43+I47+I48+I49</f>
        <v>11686.98</v>
      </c>
    </row>
  </sheetData>
  <mergeCells count="24">
    <mergeCell ref="F28:M28"/>
    <mergeCell ref="F29:F30"/>
    <mergeCell ref="G29:J29"/>
    <mergeCell ref="K29:M29"/>
    <mergeCell ref="D28:D30"/>
    <mergeCell ref="E28:E30"/>
    <mergeCell ref="B2:B4"/>
    <mergeCell ref="C2:C4"/>
    <mergeCell ref="G3:J3"/>
    <mergeCell ref="K3:M3"/>
    <mergeCell ref="F2:M2"/>
    <mergeCell ref="F3:F4"/>
    <mergeCell ref="D2:D4"/>
    <mergeCell ref="E2:E4"/>
    <mergeCell ref="B28:B30"/>
    <mergeCell ref="C28:C30"/>
    <mergeCell ref="C31:C49"/>
    <mergeCell ref="D11:D13"/>
    <mergeCell ref="D15:D17"/>
    <mergeCell ref="D18:D23"/>
    <mergeCell ref="C5:C23"/>
    <mergeCell ref="D5:D10"/>
    <mergeCell ref="D34:D35"/>
    <mergeCell ref="D44:D46"/>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E30" sqref="E3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2"/>
      <c r="C1" s="1392"/>
      <c r="D1" s="1392"/>
      <c r="E1" s="1392"/>
      <c r="F1" s="1392"/>
      <c r="G1" s="1392"/>
      <c r="H1" s="1392"/>
      <c r="I1" s="1392"/>
      <c r="J1" s="1392"/>
      <c r="K1" s="1392"/>
      <c r="L1" s="1392"/>
      <c r="M1" s="1392"/>
      <c r="N1" s="1392"/>
      <c r="O1" s="1392"/>
      <c r="P1" s="1392"/>
    </row>
    <row r="2" spans="1:16" ht="15">
      <c r="A2" s="3067" t="s">
        <v>1931</v>
      </c>
      <c r="B2" s="3067"/>
      <c r="C2" s="3067"/>
      <c r="D2" s="967" t="s">
        <v>1907</v>
      </c>
      <c r="E2" s="2225" t="s">
        <v>1908</v>
      </c>
      <c r="F2" s="1392"/>
      <c r="G2" s="2226"/>
      <c r="H2" s="2227"/>
      <c r="I2" s="2228" t="s">
        <v>1932</v>
      </c>
      <c r="J2" s="1392"/>
      <c r="K2" s="1392"/>
      <c r="L2" s="1392"/>
      <c r="M2" s="1392"/>
      <c r="N2" s="1427"/>
      <c r="O2" s="1392"/>
      <c r="P2" s="1392"/>
    </row>
    <row r="3" spans="1:16" ht="15.75" thickBot="1">
      <c r="A3" s="3068" t="s">
        <v>1905</v>
      </c>
      <c r="B3" s="3068"/>
      <c r="C3" s="3068"/>
      <c r="D3" s="46">
        <f>'数据-基础表'!AY6</f>
        <v>24393.62</v>
      </c>
      <c r="E3" s="46">
        <f>'数据-基础表'!AZ5</f>
        <v>112500.81000000001</v>
      </c>
      <c r="F3" s="1392"/>
      <c r="G3" s="1399"/>
      <c r="H3" s="1247" t="s">
        <v>1906</v>
      </c>
      <c r="I3" s="55">
        <f>ROUND('数据-基础表'!B3/'数据-基础表'!A3,2)</f>
        <v>4.6100000000000003</v>
      </c>
      <c r="J3" s="1392"/>
      <c r="K3" s="1392"/>
      <c r="L3" s="1392"/>
      <c r="M3" s="1392"/>
      <c r="N3" s="1427"/>
      <c r="O3" s="1392"/>
      <c r="P3" s="1392"/>
    </row>
    <row r="4" spans="1:16" ht="15">
      <c r="A4" s="3069"/>
      <c r="B4" s="3070"/>
      <c r="C4" s="3071"/>
      <c r="D4" s="2229" t="s">
        <v>1907</v>
      </c>
      <c r="E4" s="2230" t="s">
        <v>1908</v>
      </c>
      <c r="F4" s="1392"/>
      <c r="G4" s="2231" t="s">
        <v>1933</v>
      </c>
      <c r="H4" s="1247" t="s">
        <v>1913</v>
      </c>
      <c r="I4" s="55">
        <f>ROUND(SUMIF('数据-基础表'!I9:AS9,"地上",'数据-基础表'!I5:AS5)/'数据-基础表'!A3,2)</f>
        <v>3.82</v>
      </c>
      <c r="J4" s="1392"/>
      <c r="K4" s="1392"/>
      <c r="L4" s="1392"/>
      <c r="M4" s="1392"/>
      <c r="N4" s="1427"/>
      <c r="O4" s="1392"/>
      <c r="P4" s="1392"/>
    </row>
    <row r="5" spans="1:16">
      <c r="A5" s="47" t="s">
        <v>1909</v>
      </c>
      <c r="B5" s="3072" t="s">
        <v>1910</v>
      </c>
      <c r="C5" s="3072"/>
      <c r="D5" s="48">
        <f>ROUND($D$3*E5/$E$3,2)</f>
        <v>0</v>
      </c>
      <c r="E5" s="49">
        <f>SUMIF('数据-基础表'!$11:$11,"住宅",'数据-基础表'!$5:$5)</f>
        <v>0</v>
      </c>
      <c r="F5" s="1392"/>
      <c r="G5" s="1399"/>
      <c r="H5" s="1247" t="s">
        <v>1906</v>
      </c>
      <c r="I5" s="55">
        <f>ROUND(E31/D31,2)</f>
        <v>4.6100000000000003</v>
      </c>
      <c r="J5" s="1392"/>
      <c r="K5" s="1392"/>
      <c r="L5" s="1392"/>
      <c r="M5" s="1392"/>
      <c r="N5" s="1392"/>
      <c r="O5" s="1392"/>
      <c r="P5" s="1392"/>
    </row>
    <row r="6" spans="1:16" ht="15" thickBot="1">
      <c r="A6" s="2232"/>
      <c r="B6" s="3072" t="s">
        <v>1911</v>
      </c>
      <c r="C6" s="3072"/>
      <c r="D6" s="48">
        <f>ROUND($D$3*E6/$E$3,2)</f>
        <v>24393.62</v>
      </c>
      <c r="E6" s="49">
        <f>E3-E5</f>
        <v>112500.81000000001</v>
      </c>
      <c r="F6" s="1392"/>
      <c r="G6" s="2233" t="s">
        <v>1912</v>
      </c>
      <c r="H6" s="1399" t="s">
        <v>1913</v>
      </c>
      <c r="I6" s="939">
        <f>ROUND(F31/D31,2)</f>
        <v>3.4</v>
      </c>
      <c r="J6" s="1392"/>
      <c r="K6" s="1392"/>
      <c r="L6" s="1392"/>
      <c r="M6" s="1392"/>
      <c r="N6" s="1392"/>
      <c r="O6" s="1392"/>
      <c r="P6" s="1392"/>
    </row>
    <row r="7" spans="1:16" ht="15">
      <c r="A7" s="3064"/>
      <c r="B7" s="3065"/>
      <c r="C7" s="3066"/>
      <c r="D7" s="2229" t="s">
        <v>1907</v>
      </c>
      <c r="E7" s="2234" t="s">
        <v>1914</v>
      </c>
      <c r="F7" s="1392"/>
      <c r="G7" s="2226" t="s">
        <v>1915</v>
      </c>
      <c r="H7" s="64"/>
      <c r="I7" s="420"/>
      <c r="J7" s="1392"/>
      <c r="K7" s="1392"/>
      <c r="L7" s="1392"/>
      <c r="M7" s="1392"/>
      <c r="N7" s="1392"/>
      <c r="O7" s="1392"/>
      <c r="P7" s="1392"/>
    </row>
    <row r="8" spans="1:16">
      <c r="A8" s="47" t="s">
        <v>1916</v>
      </c>
      <c r="B8" s="50" t="s">
        <v>1917</v>
      </c>
      <c r="C8" s="48" t="s">
        <v>1918</v>
      </c>
      <c r="D8" s="48">
        <f t="shared" ref="D8:D15" si="0">ROUND($D$3*E8/$E$3,2)</f>
        <v>17969.689999999999</v>
      </c>
      <c r="E8" s="51">
        <f>SUMIF('数据-基础表'!BB10:BK10,"地上",'数据-基础表'!BB5:BK5)</f>
        <v>82874.320000000007</v>
      </c>
      <c r="F8" s="1392"/>
      <c r="G8" s="2235"/>
      <c r="H8" s="2235"/>
      <c r="I8" s="1392"/>
      <c r="J8" s="1392"/>
      <c r="K8" s="1392"/>
      <c r="L8" s="1392"/>
      <c r="M8" s="1392"/>
      <c r="N8" s="1392"/>
      <c r="O8" s="1392"/>
      <c r="P8" s="1392"/>
    </row>
    <row r="9" spans="1:16">
      <c r="A9" s="2236"/>
      <c r="B9" s="2237"/>
      <c r="C9" s="48" t="s">
        <v>1919</v>
      </c>
      <c r="D9" s="48">
        <f t="shared" si="0"/>
        <v>0</v>
      </c>
      <c r="E9" s="52">
        <v>0</v>
      </c>
      <c r="F9" s="1392"/>
      <c r="G9" s="2235"/>
      <c r="H9" s="2235"/>
      <c r="I9" s="1392"/>
      <c r="J9" s="1392"/>
      <c r="K9" s="1392"/>
      <c r="L9" s="1392"/>
      <c r="M9" s="1392"/>
      <c r="N9" s="1392"/>
      <c r="O9" s="1392"/>
      <c r="P9" s="1392"/>
    </row>
    <row r="10" spans="1:16">
      <c r="A10" s="2236"/>
      <c r="B10" s="2237"/>
      <c r="C10" s="48" t="s">
        <v>1928</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1920</v>
      </c>
      <c r="D11" s="48">
        <f t="shared" si="0"/>
        <v>1238.92</v>
      </c>
      <c r="E11" s="51">
        <f>SUMPRODUCT(('数据-基础表'!BB10:BK10="地下")*('数据-基础表'!BB11:BK11="办公")*('数据-基础表'!BB5:BK5))+'数据-基础表'!BP5</f>
        <v>5713.75</v>
      </c>
      <c r="F11" s="1392"/>
      <c r="G11" s="2235"/>
      <c r="H11" s="2235"/>
      <c r="I11" s="1392"/>
      <c r="J11" s="1392"/>
      <c r="K11" s="1392"/>
      <c r="L11" s="1392"/>
      <c r="M11" s="1392"/>
      <c r="N11" s="1392"/>
      <c r="O11" s="1392"/>
      <c r="P11" s="1392"/>
    </row>
    <row r="12" spans="1:16">
      <c r="A12" s="2236"/>
      <c r="B12" s="2237"/>
      <c r="C12" s="48" t="s">
        <v>1921</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1922</v>
      </c>
      <c r="D13" s="48">
        <f t="shared" si="0"/>
        <v>4032.21</v>
      </c>
      <c r="E13" s="51">
        <f>SUMPRODUCT(('数据-基础表'!BB10:BK10="地下")*('数据-基础表'!BB11:BK11="车库")*('数据-基础表'!BB5:BK5))</f>
        <v>18596.150000000001</v>
      </c>
      <c r="F13" s="1392"/>
      <c r="G13" s="2235"/>
      <c r="H13" s="2235"/>
      <c r="I13" s="1392"/>
      <c r="J13" s="1392"/>
      <c r="K13" s="1392"/>
      <c r="L13" s="1392"/>
      <c r="M13" s="1392"/>
      <c r="N13" s="1392"/>
      <c r="O13" s="1392"/>
      <c r="P13" s="1392"/>
    </row>
    <row r="14" spans="1:16">
      <c r="A14" s="2236"/>
      <c r="B14" s="2237"/>
      <c r="C14" s="48" t="s">
        <v>1934</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1929</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1923</v>
      </c>
      <c r="D16" s="50">
        <f>SUM(D8:D15)</f>
        <v>23240.82</v>
      </c>
      <c r="E16" s="53">
        <f>SUM(E8:E15)</f>
        <v>107184.22</v>
      </c>
      <c r="F16" s="1392"/>
      <c r="G16" s="2235"/>
      <c r="H16" s="2238" t="s">
        <v>1935</v>
      </c>
      <c r="I16" s="2239"/>
      <c r="J16" s="1392"/>
      <c r="K16" s="3061" t="s">
        <v>1935</v>
      </c>
      <c r="L16" s="3062"/>
      <c r="M16" s="3062"/>
      <c r="N16" s="3062"/>
      <c r="O16" s="3062"/>
      <c r="P16" s="3063"/>
    </row>
    <row r="17" spans="1:19" ht="15">
      <c r="A17" s="2240" t="s">
        <v>1936</v>
      </c>
      <c r="B17" s="2241" t="s">
        <v>1937</v>
      </c>
      <c r="C17" s="2242" t="s">
        <v>1938</v>
      </c>
      <c r="D17" s="2243" t="s">
        <v>1926</v>
      </c>
      <c r="E17" s="2244" t="s">
        <v>1927</v>
      </c>
      <c r="F17" s="2245"/>
      <c r="G17" s="2246"/>
      <c r="H17" s="2247" t="s">
        <v>1939</v>
      </c>
      <c r="I17" s="2248" t="s">
        <v>1924</v>
      </c>
      <c r="J17" s="1392"/>
      <c r="K17" s="3058" t="s">
        <v>1940</v>
      </c>
      <c r="L17" s="3059"/>
      <c r="M17" s="3060"/>
      <c r="N17" s="3058" t="s">
        <v>1941</v>
      </c>
      <c r="O17" s="3059"/>
      <c r="P17" s="3060"/>
      <c r="R17" s="2226" t="s">
        <v>1942</v>
      </c>
      <c r="S17" s="64"/>
    </row>
    <row r="18" spans="1:19" ht="15">
      <c r="A18" s="2236"/>
      <c r="B18" s="2249"/>
      <c r="C18" s="2250"/>
      <c r="D18" s="2251"/>
      <c r="E18" s="2252" t="s">
        <v>1943</v>
      </c>
      <c r="F18" s="2253" t="s">
        <v>1944</v>
      </c>
      <c r="G18" s="2254" t="s">
        <v>1945</v>
      </c>
      <c r="H18" s="1262" t="s">
        <v>1946</v>
      </c>
      <c r="I18" s="2255" t="s">
        <v>1947</v>
      </c>
      <c r="J18" s="1392"/>
      <c r="K18" s="1262" t="s">
        <v>1948</v>
      </c>
      <c r="L18" s="2256" t="s">
        <v>1949</v>
      </c>
      <c r="M18" s="1046" t="s">
        <v>1950</v>
      </c>
      <c r="N18" s="1262" t="s">
        <v>1948</v>
      </c>
      <c r="O18" s="2256" t="s">
        <v>1949</v>
      </c>
      <c r="P18" s="1046" t="s">
        <v>1950</v>
      </c>
      <c r="R18" s="1247" t="s">
        <v>1951</v>
      </c>
      <c r="S18" s="1247" t="s">
        <v>1952</v>
      </c>
    </row>
    <row r="19" spans="1:19">
      <c r="A19" s="2257"/>
      <c r="B19" s="50" t="s">
        <v>1925</v>
      </c>
      <c r="C19" s="2955" t="s">
        <v>3112</v>
      </c>
      <c r="D19" s="48">
        <f>ROUND($D$3*E19/$E$3,2)</f>
        <v>17969.689999999999</v>
      </c>
      <c r="E19" s="56">
        <f t="shared" ref="E19:E26" si="1">SUM(F19:G19)</f>
        <v>82874.319999999978</v>
      </c>
      <c r="F19" s="57">
        <f>'数据-基础表'!I5-面积表!H52</f>
        <v>82874.319999999978</v>
      </c>
      <c r="G19" s="58"/>
      <c r="H19" s="723">
        <f>ROUND($D$3*I19/$E$3,2)</f>
        <v>891.34</v>
      </c>
      <c r="I19" s="51">
        <f t="shared" ref="I19:I26" si="2">IF($I$17="自定义",P19,M19)</f>
        <v>4110.76</v>
      </c>
      <c r="J19" s="1392"/>
      <c r="K19" s="1391">
        <f t="shared" ref="K19:K26" si="3">ROUND(E$28*E19/E$27,2)</f>
        <v>4110.76</v>
      </c>
      <c r="L19" s="1247">
        <f t="shared" ref="L19:L26" si="4">ROUND(IF(COUNTIF(C19,"*住宅*")&gt;0,E$29*E19/E$32,0),2)</f>
        <v>0</v>
      </c>
      <c r="M19" s="1403">
        <f>K19+L19</f>
        <v>4110.76</v>
      </c>
      <c r="N19" s="2258"/>
      <c r="O19" s="2259"/>
      <c r="P19" s="1403">
        <f>N19+O19</f>
        <v>0</v>
      </c>
      <c r="R19" s="1247">
        <f t="shared" ref="R19:S26" si="5">D19+H19</f>
        <v>18861.03</v>
      </c>
      <c r="S19" s="1248">
        <f t="shared" si="5"/>
        <v>86985.079999999973</v>
      </c>
    </row>
    <row r="20" spans="1:19">
      <c r="A20" s="2260"/>
      <c r="B20" s="50" t="s">
        <v>1953</v>
      </c>
      <c r="C20" s="2955" t="s">
        <v>3113</v>
      </c>
      <c r="D20" s="48">
        <f t="shared" ref="D20:D26" si="6">ROUND($D$3*E20/$E$3,2)</f>
        <v>1238.92</v>
      </c>
      <c r="E20" s="56">
        <f t="shared" si="1"/>
        <v>5713.75</v>
      </c>
      <c r="F20" s="57"/>
      <c r="G20" s="58">
        <f>'数据-基础表'!K5-面积表!H53</f>
        <v>5713.75</v>
      </c>
      <c r="H20" s="723">
        <f t="shared" ref="H20:H26" si="7">ROUND($D$3*I20/$E$3,2)</f>
        <v>61.45</v>
      </c>
      <c r="I20" s="51">
        <f t="shared" si="2"/>
        <v>283.42</v>
      </c>
      <c r="J20" s="1392"/>
      <c r="K20" s="1391">
        <f t="shared" si="3"/>
        <v>283.42</v>
      </c>
      <c r="L20" s="1247">
        <f t="shared" si="4"/>
        <v>0</v>
      </c>
      <c r="M20" s="1403">
        <f t="shared" ref="M20:M26" si="8">K20+L20</f>
        <v>283.42</v>
      </c>
      <c r="N20" s="2258"/>
      <c r="O20" s="2259"/>
      <c r="P20" s="1403">
        <f t="shared" ref="P20:P26" si="9">N20+O20</f>
        <v>0</v>
      </c>
      <c r="R20" s="1247">
        <f t="shared" si="5"/>
        <v>1300.3700000000001</v>
      </c>
      <c r="S20" s="1248">
        <f t="shared" si="5"/>
        <v>5997.17</v>
      </c>
    </row>
    <row r="21" spans="1:19">
      <c r="A21" s="2260"/>
      <c r="B21" s="50" t="s">
        <v>1953</v>
      </c>
      <c r="C21" s="2955" t="s">
        <v>3114</v>
      </c>
      <c r="D21" s="48">
        <f t="shared" si="6"/>
        <v>4032.21</v>
      </c>
      <c r="E21" s="56">
        <f t="shared" si="1"/>
        <v>18596.150000000001</v>
      </c>
      <c r="F21" s="57"/>
      <c r="G21" s="58">
        <f>面积表!J40</f>
        <v>18596.150000000001</v>
      </c>
      <c r="H21" s="723">
        <f t="shared" si="7"/>
        <v>200.01</v>
      </c>
      <c r="I21" s="51">
        <f t="shared" si="2"/>
        <v>922.41</v>
      </c>
      <c r="J21" s="1392"/>
      <c r="K21" s="1391">
        <f t="shared" si="3"/>
        <v>922.41</v>
      </c>
      <c r="L21" s="1247">
        <f t="shared" si="4"/>
        <v>0</v>
      </c>
      <c r="M21" s="1403">
        <f t="shared" si="8"/>
        <v>922.41</v>
      </c>
      <c r="N21" s="2258"/>
      <c r="O21" s="2259"/>
      <c r="P21" s="1403">
        <f t="shared" si="9"/>
        <v>0</v>
      </c>
      <c r="R21" s="1247">
        <f t="shared" si="5"/>
        <v>4232.22</v>
      </c>
      <c r="S21" s="1248">
        <f t="shared" si="5"/>
        <v>19518.560000000001</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23240.82</v>
      </c>
      <c r="E27" s="1394">
        <f>IF(SUM(E19:E26)='数据-基础表'!BA5,SUM(E19:E26),IF(F27="地上面积有误","面积有误","地下面积有误"))</f>
        <v>107184.21999999997</v>
      </c>
      <c r="F27" s="1393">
        <f>IF(SUM(F19:F26)=E8,SUM(F19:F26),"地上面积有误")</f>
        <v>82874.319999999978</v>
      </c>
      <c r="G27" s="1395">
        <f>SUM(G19:G26)</f>
        <v>24309.9</v>
      </c>
      <c r="H27" s="1396">
        <f>SUM(H19:H26)</f>
        <v>1152.8000000000002</v>
      </c>
      <c r="I27" s="1397">
        <f>SUM(I19:I26)</f>
        <v>5316.59</v>
      </c>
      <c r="J27" s="1392"/>
      <c r="K27" s="1400">
        <f>SUM(K19:K26)</f>
        <v>5316.59</v>
      </c>
      <c r="L27" s="1401">
        <f>SUM(L19:L26)</f>
        <v>0</v>
      </c>
      <c r="M27" s="1404">
        <f>SUM(M19:M26)</f>
        <v>5316.59</v>
      </c>
      <c r="N27" s="1400">
        <f t="shared" ref="N27:O27" si="10">SUM(N19:N26)</f>
        <v>0</v>
      </c>
      <c r="O27" s="1401">
        <f t="shared" si="10"/>
        <v>0</v>
      </c>
      <c r="P27" s="1402">
        <f>SUM(P19:P26)</f>
        <v>0</v>
      </c>
      <c r="R27" s="1249">
        <f>IF(SUM(R19:R26)=$D$3,SUM(R19:R26),SUM(R19:R26)&amp;"误差"&amp;ROUND(SUM(R19:R26)-$D$3,2))</f>
        <v>24393.62</v>
      </c>
      <c r="S27" s="1247">
        <f>IF(SUM(S19:S26)=$E$3,SUM(S19:S26),SUM(S19:S26)&amp;"误差"&amp;ROUND(SUM(S19:S26)-E3,2))</f>
        <v>112500.80999999997</v>
      </c>
    </row>
    <row r="28" spans="1:19">
      <c r="A28" s="2260"/>
      <c r="B28" s="50" t="s">
        <v>1955</v>
      </c>
      <c r="C28" s="1259" t="s">
        <v>1956</v>
      </c>
      <c r="D28" s="48">
        <f>ROUND($D$3*E28/$E$3,2)</f>
        <v>1152.8</v>
      </c>
      <c r="E28" s="56">
        <f>SUM(F28:G28)</f>
        <v>5316.59</v>
      </c>
      <c r="F28" s="64">
        <f>'数据-基础表'!BQ5+'数据-基础表'!BS5</f>
        <v>0</v>
      </c>
      <c r="G28" s="65">
        <f>'数据-基础表'!BR5+'数据-基础表'!BT5</f>
        <v>5316.59</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1152.8</v>
      </c>
      <c r="E30" s="1393">
        <f>SUM(E28:E29)</f>
        <v>5316.59</v>
      </c>
      <c r="F30" s="1393">
        <f>SUM(F28:F29)</f>
        <v>0</v>
      </c>
      <c r="G30" s="1395">
        <f>SUM(G28:G29)</f>
        <v>5316.59</v>
      </c>
      <c r="H30" s="1392"/>
      <c r="I30" s="1392"/>
      <c r="J30" s="1392"/>
      <c r="K30" s="1392"/>
      <c r="L30" s="1392"/>
      <c r="M30" s="1392"/>
      <c r="N30" s="1392"/>
      <c r="O30" s="1392"/>
      <c r="P30" s="1392"/>
    </row>
    <row r="31" spans="1:19" ht="15.75" thickBot="1">
      <c r="A31" s="2266"/>
      <c r="B31" s="2267"/>
      <c r="C31" s="1007" t="s">
        <v>1958</v>
      </c>
      <c r="D31" s="729">
        <f>D27+D30</f>
        <v>24393.62</v>
      </c>
      <c r="E31" s="729">
        <f>E27+E30</f>
        <v>112500.80999999997</v>
      </c>
      <c r="F31" s="730">
        <f>F27+F30</f>
        <v>82874.319999999978</v>
      </c>
      <c r="G31" s="731">
        <f>G27+G30</f>
        <v>29626.49</v>
      </c>
      <c r="H31" s="1392"/>
      <c r="I31" s="1392"/>
      <c r="J31" s="1392"/>
      <c r="K31" s="1392"/>
      <c r="L31" s="1392"/>
      <c r="M31" s="1392"/>
      <c r="N31" s="1392"/>
      <c r="O31" s="1392"/>
      <c r="P31" s="1392"/>
    </row>
    <row r="32" spans="1:19">
      <c r="A32" s="2231"/>
      <c r="B32" s="2231" t="s">
        <v>1959</v>
      </c>
      <c r="C32" s="2231"/>
      <c r="D32" s="2231"/>
      <c r="E32" s="1274">
        <f>SUMIF(C19:C26,"*住宅*",E19:E26)</f>
        <v>0</v>
      </c>
      <c r="F32" s="2231"/>
      <c r="G32" s="2231"/>
      <c r="H32" s="1392"/>
      <c r="I32" s="1392"/>
      <c r="J32" s="1392"/>
      <c r="K32" s="1392"/>
      <c r="L32" s="1392"/>
      <c r="M32" s="1392"/>
      <c r="N32" s="1392"/>
      <c r="O32" s="1392"/>
      <c r="P32" s="1392"/>
    </row>
    <row r="33" spans="4:6">
      <c r="D33" s="2268"/>
    </row>
    <row r="35" spans="4:6">
      <c r="E35" s="2224">
        <f>D3+'[1]数据-汇总表'!$D$3</f>
        <v>66865.89</v>
      </c>
      <c r="F35" s="2224">
        <f>E3+'[1]数据-汇总表'!$E$3</f>
        <v>308378.43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1961</v>
      </c>
      <c r="B2" s="1266">
        <f>项目基本情况!D3</f>
        <v>43439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2" t="s">
        <v>1966</v>
      </c>
      <c r="AA4" s="2242"/>
      <c r="AB4" s="2242"/>
      <c r="AC4" s="2242"/>
      <c r="AD4" s="2242"/>
      <c r="AE4" s="2240" t="s">
        <v>1967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1981</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2" t="s">
        <v>2002</v>
      </c>
      <c r="AP5" s="1249" t="s">
        <v>2003</v>
      </c>
      <c r="AQ5" s="2302" t="s">
        <v>2004</v>
      </c>
      <c r="AR5" s="2302"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地上研发</v>
      </c>
      <c r="B6" s="2304" t="str">
        <f>IF(A6=0,"","经营性")</f>
        <v>经营性</v>
      </c>
      <c r="C6" s="2305" t="s">
        <v>27</v>
      </c>
      <c r="D6" s="1051">
        <f>SUMIF(项目基本情况!D$12:I$12,C6,项目基本情况!D$14:I$14)</f>
        <v>50</v>
      </c>
      <c r="E6" s="1048">
        <f>IF(B6="","",SUMIF(项目基本情况!D$12:I$12,C6,项目基本情况!D$13:I$13))</f>
        <v>57341</v>
      </c>
      <c r="F6" s="72">
        <f>SUMIF(项目基本情况!D$12:I$12,C6,项目基本情况!D$15:I$15)</f>
        <v>38.08</v>
      </c>
      <c r="G6" s="73">
        <f>IF(ISERROR(ROUND(POWER(1+H6,D6-F6)*(POWER(1+H6,F6)-1)/(POWER(1+H6,D6)-1),3)),0,ROUND(POWER(1+H6,D6-F6)*(POWER(1+H6,F6)-1)/(POWER(1+H6,D6)-1),3))</f>
        <v>0.92500000000000004</v>
      </c>
      <c r="H6" s="802">
        <v>0.05</v>
      </c>
      <c r="I6" s="802">
        <v>5.5E-2</v>
      </c>
      <c r="J6" s="74">
        <v>8.5000000000000006E-2</v>
      </c>
      <c r="K6" s="1251">
        <f>SUMIF('数据-汇总表'!C$19:C$33,A6,'数据-汇总表'!E$19:E$33)</f>
        <v>82874.319999999978</v>
      </c>
      <c r="L6" s="803">
        <v>4000</v>
      </c>
      <c r="M6" s="75">
        <f t="shared" ref="M6:M14" si="0">ROUND(K6*L6/10000,0)</f>
        <v>33150</v>
      </c>
      <c r="N6" s="801">
        <v>0.9</v>
      </c>
      <c r="O6" s="75">
        <f>IF($N$5="成新度","——",ROUND(M6*N6,0))</f>
        <v>29835</v>
      </c>
      <c r="P6" s="76">
        <f>IF($N$5="成新度","——",M6-O6)</f>
        <v>3315</v>
      </c>
      <c r="Q6" s="804">
        <v>0.2</v>
      </c>
      <c r="R6" s="77">
        <f ca="1">SUMIF('数据-汇总表'!C$19:C$33,A6,'数据-汇总表'!R$19:R$27)</f>
        <v>18861.03</v>
      </c>
      <c r="S6" s="54">
        <f>IF('数据-汇总表'!$I$17="按面积比例",SUMIF('数据-汇总表'!C$19:C$33,A6,'数据-汇总表'!K$19:K$33),SUMIF('数据-汇总表'!C$19:C$33,A6,'数据-汇总表'!N$19:N$33))</f>
        <v>4110.76</v>
      </c>
      <c r="T6" s="1443">
        <f>ROUND($L$14*S6/10000,0)</f>
        <v>1439</v>
      </c>
      <c r="U6" s="78">
        <v>2.4</v>
      </c>
      <c r="V6" s="79">
        <v>2.5000000000000001E-2</v>
      </c>
      <c r="W6" s="79">
        <v>0.15</v>
      </c>
      <c r="X6" s="1261"/>
      <c r="Y6" s="80">
        <v>1</v>
      </c>
      <c r="Z6" s="81"/>
      <c r="AA6" s="74"/>
      <c r="AB6" s="74"/>
      <c r="AC6" s="1261"/>
      <c r="AD6" s="82"/>
      <c r="AE6" s="1262">
        <f ca="1">IF(AN6="",0,SUMIF(INDIRECT("'"&amp;AN6&amp;"'"&amp;"!E:E"),$AE$5,INDIRECT("'"&amp;AN6&amp;"'"&amp;"!F:F")))</f>
        <v>37.78</v>
      </c>
      <c r="AF6" s="1804"/>
      <c r="AG6" s="147">
        <f>IF(AF6="",0,AE6-AF6)</f>
        <v>0</v>
      </c>
      <c r="AH6" s="83"/>
      <c r="AI6" s="85">
        <v>365</v>
      </c>
      <c r="AJ6" s="86"/>
      <c r="AK6" s="87">
        <v>0.01</v>
      </c>
      <c r="AL6" s="88">
        <v>1E-3</v>
      </c>
      <c r="AM6" s="89">
        <v>0.01</v>
      </c>
      <c r="AN6" s="2306" t="s">
        <v>3145</v>
      </c>
      <c r="AO6" s="55">
        <f ca="1">SUMIF(INDIRECT("'"&amp;AN6&amp;"'"&amp;"!A:A"),"总价",INDIRECT("'"&amp;AN6&amp;"'"&amp;"!B:B"))</f>
        <v>98455</v>
      </c>
      <c r="AP6" s="2307">
        <f>IF(C6="住宅",K6*L6,0)</f>
        <v>0</v>
      </c>
      <c r="AQ6" s="55">
        <f>ROUND($L$14*$N$14*S6/10000,0)</f>
        <v>1295</v>
      </c>
      <c r="AR6" s="55">
        <f>ROUND($L$14*(1-$N$14)*S6/10000,0)</f>
        <v>144</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地下研发</v>
      </c>
      <c r="B7" s="2304" t="str">
        <f t="shared" ref="B7:B13" si="1">IF(A7=0,"","经营性")</f>
        <v>经营性</v>
      </c>
      <c r="C7" s="2305" t="s">
        <v>27</v>
      </c>
      <c r="D7" s="1051">
        <f>SUMIF(项目基本情况!D$12:I$12,C7,项目基本情况!D$14:I$14)</f>
        <v>50</v>
      </c>
      <c r="E7" s="1048">
        <f>IF(B7="","",SUMIF(项目基本情况!D$12:I$12,C7,项目基本情况!D$13:I$13))</f>
        <v>57341</v>
      </c>
      <c r="F7" s="72">
        <f>SUMIF(项目基本情况!D$12:I$12,C7,项目基本情况!D$15:I$15)</f>
        <v>38.08</v>
      </c>
      <c r="G7" s="73">
        <f t="shared" ref="G7:G11" si="2">IF(ISERROR(ROUND(POWER(1+H7,D7-F7)*(POWER(1+H7,F7)-1)/(POWER(1+H7,D7)-1),3)),0,ROUND(POWER(1+H7,D7-F7)*(POWER(1+H7,F7)-1)/(POWER(1+H7,D7)-1),3))</f>
        <v>0.92500000000000004</v>
      </c>
      <c r="H7" s="802">
        <v>0.05</v>
      </c>
      <c r="I7" s="802">
        <v>5.5E-2</v>
      </c>
      <c r="J7" s="74">
        <v>8.5000000000000006E-2</v>
      </c>
      <c r="K7" s="1251">
        <f>SUMIF('数据-汇总表'!C$19:C$33,A7,'数据-汇总表'!E$19:E$33)</f>
        <v>5713.75</v>
      </c>
      <c r="L7" s="803">
        <v>4000</v>
      </c>
      <c r="M7" s="75">
        <f t="shared" si="0"/>
        <v>2286</v>
      </c>
      <c r="N7" s="801">
        <v>0.9</v>
      </c>
      <c r="O7" s="75">
        <f t="shared" ref="O7:O14" si="3">IF($N$5="成新度","——",ROUND(M7*N7,0))</f>
        <v>2057</v>
      </c>
      <c r="P7" s="76">
        <f t="shared" ref="P7:P14" si="4">IF($N$5="成新度","——",M7-O7)</f>
        <v>229</v>
      </c>
      <c r="Q7" s="804">
        <v>0.1</v>
      </c>
      <c r="R7" s="77">
        <f ca="1">SUMIF('数据-汇总表'!C$19:C$33,A7,'数据-汇总表'!R$19:R$27)</f>
        <v>1300.3700000000001</v>
      </c>
      <c r="S7" s="54">
        <f>IF('数据-汇总表'!$I$17="按面积比例",SUMIF('数据-汇总表'!C$19:C$33,A7,'数据-汇总表'!K$19:K$33),SUMIF('数据-汇总表'!C$19:C$33,A7,'数据-汇总表'!N$19:N$33))</f>
        <v>283.42</v>
      </c>
      <c r="T7" s="1443">
        <f t="shared" ref="T7:T13" si="5">ROUND($L$14*S7/10000,0)</f>
        <v>99</v>
      </c>
      <c r="U7" s="78">
        <f>3.5*0.4</f>
        <v>1.4000000000000001</v>
      </c>
      <c r="V7" s="79">
        <v>2.5000000000000001E-2</v>
      </c>
      <c r="W7" s="79">
        <v>0.15</v>
      </c>
      <c r="X7" s="1261"/>
      <c r="Y7" s="80">
        <v>1</v>
      </c>
      <c r="Z7" s="81"/>
      <c r="AA7" s="74"/>
      <c r="AB7" s="74"/>
      <c r="AC7" s="1261"/>
      <c r="AD7" s="82"/>
      <c r="AE7" s="1262">
        <f t="shared" ref="AE7:AE13" ca="1" si="6">IF(AN7="",0,SUMIF(INDIRECT("'"&amp;AN7&amp;"'"&amp;"!E:E"),$AE$5,INDIRECT("'"&amp;AN7&amp;"'"&amp;"!F:F")))</f>
        <v>37.78</v>
      </c>
      <c r="AF7" s="1804"/>
      <c r="AG7" s="147">
        <f t="shared" ref="AG7:AG13" si="7">IF(AF7="",0,AE7-AF7)</f>
        <v>0</v>
      </c>
      <c r="AH7" s="83"/>
      <c r="AI7" s="85">
        <v>365</v>
      </c>
      <c r="AJ7" s="86"/>
      <c r="AK7" s="87">
        <v>0.01</v>
      </c>
      <c r="AL7" s="88">
        <v>1E-3</v>
      </c>
      <c r="AM7" s="89">
        <v>0.01</v>
      </c>
      <c r="AN7" s="2306" t="s">
        <v>3143</v>
      </c>
      <c r="AO7" s="55">
        <f t="shared" ref="AO7:AO13" ca="1" si="8">SUMIF(INDIRECT("'"&amp;AN7&amp;"'"&amp;"!A:A"),"总价",INDIRECT("'"&amp;AN7&amp;"'"&amp;"!B:B"))</f>
        <v>3651</v>
      </c>
      <c r="AP7" s="2307">
        <f t="shared" ref="AP7:AP13" si="9">IF(C7="住宅",K7*L7,0)</f>
        <v>0</v>
      </c>
      <c r="AQ7" s="55">
        <f t="shared" ref="AQ7:AQ13" si="10">ROUND($L$14*$N$14*S7/10000,0)</f>
        <v>89</v>
      </c>
      <c r="AR7" s="55">
        <f t="shared" ref="AR7:AR13" si="11">ROUND($L$14*(1-$N$14)*S7/10000,0)</f>
        <v>10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3070</v>
      </c>
      <c r="D8" s="1051">
        <f>SUMIF(项目基本情况!D$12:I$12,C8,项目基本情况!D$14:I$14)</f>
        <v>50</v>
      </c>
      <c r="E8" s="1048">
        <f>IF(B8="","",SUMIF(项目基本情况!D$12:I$12,C8,项目基本情况!D$13:I$13))</f>
        <v>57341</v>
      </c>
      <c r="F8" s="72">
        <f>SUMIF(项目基本情况!D$12:I$12,C8,项目基本情况!D$15:I$15)</f>
        <v>38.08</v>
      </c>
      <c r="G8" s="73">
        <f t="shared" si="2"/>
        <v>0.91400000000000003</v>
      </c>
      <c r="H8" s="802">
        <v>4.4999999999999998E-2</v>
      </c>
      <c r="I8" s="802">
        <v>0.05</v>
      </c>
      <c r="J8" s="74">
        <v>8.5000000000000006E-2</v>
      </c>
      <c r="K8" s="1251">
        <f>SUMIF('数据-汇总表'!C$19:C$33,A8,'数据-汇总表'!E$19:E$33)</f>
        <v>18596.150000000001</v>
      </c>
      <c r="L8" s="803">
        <v>3500</v>
      </c>
      <c r="M8" s="75">
        <f>ROUND(K8*L8/10000,0)</f>
        <v>6509</v>
      </c>
      <c r="N8" s="801">
        <v>0.9</v>
      </c>
      <c r="O8" s="75">
        <f t="shared" si="3"/>
        <v>5858</v>
      </c>
      <c r="P8" s="76">
        <f t="shared" si="4"/>
        <v>651</v>
      </c>
      <c r="Q8" s="804">
        <v>0.05</v>
      </c>
      <c r="R8" s="77">
        <f ca="1">SUMIF('数据-汇总表'!C$19:C$33,A8,'数据-汇总表'!R$19:R$27)</f>
        <v>4232.22</v>
      </c>
      <c r="S8" s="54">
        <f>IF('数据-汇总表'!$I$17="按面积比例",SUMIF('数据-汇总表'!C$19:C$33,A8,'数据-汇总表'!K$19:K$33),SUMIF('数据-汇总表'!C$19:C$33,A8,'数据-汇总表'!N$19:N$33))</f>
        <v>922.41</v>
      </c>
      <c r="T8" s="1443">
        <f t="shared" si="5"/>
        <v>323</v>
      </c>
      <c r="U8" s="805">
        <v>0.8</v>
      </c>
      <c r="V8" s="806">
        <v>1.4999999999999999E-2</v>
      </c>
      <c r="W8" s="806">
        <v>0.15</v>
      </c>
      <c r="X8" s="1261"/>
      <c r="Y8" s="807">
        <v>1</v>
      </c>
      <c r="Z8" s="81"/>
      <c r="AA8" s="74"/>
      <c r="AB8" s="74"/>
      <c r="AC8" s="1261"/>
      <c r="AD8" s="82"/>
      <c r="AE8" s="1262">
        <f t="shared" ca="1" si="6"/>
        <v>37.78</v>
      </c>
      <c r="AF8" s="1804"/>
      <c r="AG8" s="147">
        <f t="shared" si="7"/>
        <v>0</v>
      </c>
      <c r="AH8" s="808"/>
      <c r="AI8" s="85">
        <v>365</v>
      </c>
      <c r="AJ8" s="86"/>
      <c r="AK8" s="87">
        <v>0.01</v>
      </c>
      <c r="AL8" s="88">
        <v>1E-3</v>
      </c>
      <c r="AM8" s="89">
        <v>0.01</v>
      </c>
      <c r="AN8" s="2306" t="s">
        <v>3141</v>
      </c>
      <c r="AO8" s="55">
        <f t="shared" ca="1" si="8"/>
        <v>5633</v>
      </c>
      <c r="AP8" s="2307">
        <f t="shared" si="9"/>
        <v>0</v>
      </c>
      <c r="AQ8" s="55">
        <f t="shared" si="10"/>
        <v>291</v>
      </c>
      <c r="AR8" s="55">
        <f t="shared" si="11"/>
        <v>32</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2006</v>
      </c>
      <c r="B14" s="2304" t="s">
        <v>2007</v>
      </c>
      <c r="C14" s="2309" t="s">
        <v>2006</v>
      </c>
      <c r="D14" s="1051"/>
      <c r="E14" s="1048"/>
      <c r="F14" s="72"/>
      <c r="G14" s="73"/>
      <c r="H14" s="1250"/>
      <c r="I14" s="1250"/>
      <c r="J14" s="1250"/>
      <c r="K14" s="1251">
        <f>SUMIF('数据-汇总表'!C$19:C$33,A14,'数据-汇总表'!E$19:E$33)</f>
        <v>5316.59</v>
      </c>
      <c r="L14" s="91">
        <v>3500</v>
      </c>
      <c r="M14" s="75">
        <f t="shared" si="0"/>
        <v>1861</v>
      </c>
      <c r="N14" s="92">
        <v>0.9</v>
      </c>
      <c r="O14" s="75">
        <f t="shared" si="3"/>
        <v>1675</v>
      </c>
      <c r="P14" s="76">
        <f t="shared" si="4"/>
        <v>186</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2010</v>
      </c>
      <c r="B16" s="97"/>
      <c r="C16" s="1005"/>
      <c r="D16" s="2311"/>
      <c r="E16" s="97"/>
      <c r="F16" s="97"/>
      <c r="G16" s="98">
        <f>ROUND(SUMPRODUCT(G6:G13,K6:K13)/SUMPRODUCT((G6:G13&gt;0)*(K6:K13)),3)</f>
        <v>0.92300000000000004</v>
      </c>
      <c r="H16" s="99">
        <f>ROUND(SUMPRODUCT(H6:H13,K6:K13)/SUMPRODUCT((H6:H13&gt;0)*(K6:K13)),3)</f>
        <v>4.9000000000000002E-2</v>
      </c>
      <c r="I16" s="100"/>
      <c r="J16" s="100"/>
      <c r="K16" s="101">
        <f>SUM(K6:K15)</f>
        <v>112500.80999999997</v>
      </c>
      <c r="L16" s="102">
        <f>ROUND(M16*10000/SUM(K6:K14),0)</f>
        <v>3894</v>
      </c>
      <c r="M16" s="102">
        <f>SUM(M6:M14)</f>
        <v>43806</v>
      </c>
      <c r="N16" s="103">
        <f>ROUND(SUMPRODUCT(M6:M14,N6:N14)/M16,3)</f>
        <v>0.9</v>
      </c>
      <c r="O16" s="102">
        <f>SUM(O6:O14)</f>
        <v>39425</v>
      </c>
      <c r="P16" s="102">
        <f>SUM(P6:P14)</f>
        <v>4381</v>
      </c>
      <c r="Q16" s="104">
        <f>ROUND(SUMPRODUCT(Q6:Q13,K6:K13)/SUMPRODUCT((Q6:Q13&gt;0)*(K6:K13)),2)</f>
        <v>0.17</v>
      </c>
      <c r="R16" s="1255">
        <f ca="1">SUM(R6:R13)</f>
        <v>24393.62</v>
      </c>
      <c r="S16" s="105">
        <f>SUM(S6:S13)</f>
        <v>5316.59</v>
      </c>
      <c r="T16" s="106">
        <f>IF(SUMIF(T6:T13,"&lt;9E307")=M14,SUMIF(T6:T13,"&lt;9E307"),"有误，请检查")</f>
        <v>1861</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2014</v>
      </c>
      <c r="B20" s="113">
        <v>2</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2016</v>
      </c>
      <c r="B21" s="113">
        <v>1.7</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2017</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2018</v>
      </c>
      <c r="B23" s="114">
        <f>B19+B21</f>
        <v>1.7</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2019</v>
      </c>
      <c r="B24" s="115">
        <f>B20-B21</f>
        <v>0.30000000000000004</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2025</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2026</v>
      </c>
      <c r="B29" s="121">
        <f>ROUND(B28*K16/10000,0)</f>
        <v>1913</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2031</v>
      </c>
      <c r="B33" s="726">
        <v>0.05</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2040</v>
      </c>
      <c r="B37" s="124">
        <v>0.03</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2042</v>
      </c>
      <c r="B38" s="122">
        <v>0.03</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2046</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2048</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2049</v>
      </c>
      <c r="B44" s="128">
        <v>0.05</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2063</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2064</v>
      </c>
      <c r="B53" s="2333" t="s">
        <v>56</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2067</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2068</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2069</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2070</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2071</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2072</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7" sqref="C27"/>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3" t="s">
        <v>2077</v>
      </c>
      <c r="B1" s="3074"/>
      <c r="C1" s="3074"/>
      <c r="D1" s="3074"/>
      <c r="E1" s="3074"/>
      <c r="F1" s="3074"/>
      <c r="G1" s="307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42.75">
      <c r="A3" s="415" t="s">
        <v>2080</v>
      </c>
      <c r="B3" s="1268" t="s">
        <v>2081</v>
      </c>
      <c r="C3" s="2959" t="s">
        <v>3126</v>
      </c>
      <c r="D3" s="2367"/>
      <c r="E3" s="431" t="s">
        <v>2080</v>
      </c>
      <c r="F3" s="2368" t="s">
        <v>2082</v>
      </c>
      <c r="G3" s="2369" t="s">
        <v>2083</v>
      </c>
      <c r="H3" s="2365"/>
      <c r="I3" s="2365"/>
      <c r="J3" s="2365"/>
      <c r="K3" s="2365"/>
      <c r="L3" s="2365"/>
      <c r="M3" s="2365"/>
      <c r="N3" s="2365"/>
      <c r="O3" s="2365"/>
      <c r="P3" s="2365"/>
      <c r="Q3" s="2365"/>
      <c r="R3" s="2365"/>
    </row>
    <row r="4" spans="1:29" ht="40.5">
      <c r="A4" s="431"/>
      <c r="B4" s="1795" t="s">
        <v>2084</v>
      </c>
      <c r="C4" s="2960" t="s">
        <v>3126</v>
      </c>
      <c r="D4" s="2367"/>
      <c r="E4" s="2370"/>
      <c r="F4" s="42" t="s">
        <v>2085</v>
      </c>
      <c r="G4" s="2371" t="s">
        <v>2086</v>
      </c>
      <c r="H4" s="2365"/>
      <c r="I4" s="2365"/>
      <c r="J4" s="2365"/>
      <c r="K4" s="2365"/>
      <c r="L4" s="2365"/>
      <c r="M4" s="2365"/>
      <c r="N4" s="2365"/>
      <c r="O4" s="2365"/>
      <c r="P4" s="2365"/>
      <c r="Q4" s="2365"/>
      <c r="R4" s="2365"/>
    </row>
    <row r="5" spans="1:29" ht="54">
      <c r="A5" s="431"/>
      <c r="B5" s="1795" t="s">
        <v>2087</v>
      </c>
      <c r="C5" s="2960" t="s">
        <v>3127</v>
      </c>
      <c r="D5" s="2367"/>
      <c r="E5" s="2370"/>
      <c r="F5" s="1795" t="s">
        <v>2088</v>
      </c>
      <c r="G5" s="2371" t="s">
        <v>2089</v>
      </c>
      <c r="H5" s="2365"/>
      <c r="I5" s="2365"/>
      <c r="J5" s="2365"/>
      <c r="K5" s="2365"/>
      <c r="L5" s="2365"/>
      <c r="M5" s="2365"/>
      <c r="N5" s="2365"/>
      <c r="O5" s="2365"/>
      <c r="P5" s="2365"/>
      <c r="Q5" s="2365"/>
      <c r="R5" s="2365"/>
    </row>
    <row r="6" spans="1:29" ht="40.5">
      <c r="A6" s="431"/>
      <c r="B6" s="1795" t="s">
        <v>2090</v>
      </c>
      <c r="C6" s="2961" t="s">
        <v>3128</v>
      </c>
      <c r="D6" s="2367"/>
      <c r="E6" s="2370"/>
      <c r="F6" s="1795" t="s">
        <v>2091</v>
      </c>
      <c r="G6" s="2371" t="s">
        <v>2092</v>
      </c>
      <c r="H6" s="2365"/>
      <c r="I6" s="2365"/>
      <c r="J6" s="2365"/>
      <c r="K6" s="2365"/>
      <c r="L6" s="2365"/>
      <c r="M6" s="2365"/>
      <c r="N6" s="2365"/>
      <c r="O6" s="2365"/>
      <c r="P6" s="2365"/>
      <c r="Q6" s="2365"/>
      <c r="R6" s="2365"/>
    </row>
    <row r="7" spans="1:29" ht="54.75" thickBot="1">
      <c r="A7" s="431"/>
      <c r="B7" s="1795" t="s">
        <v>2088</v>
      </c>
      <c r="C7" s="2961" t="s">
        <v>3129</v>
      </c>
      <c r="D7" s="2372"/>
      <c r="E7" s="2373"/>
      <c r="F7" s="2374" t="s">
        <v>2093</v>
      </c>
      <c r="G7" s="2375" t="s">
        <v>2094</v>
      </c>
      <c r="H7" s="2365"/>
      <c r="I7" s="2365"/>
      <c r="J7" s="2365"/>
      <c r="K7" s="2365"/>
      <c r="L7" s="2365"/>
      <c r="M7" s="2365"/>
      <c r="N7" s="2365"/>
      <c r="O7" s="2365"/>
      <c r="P7" s="2365"/>
      <c r="Q7" s="2365"/>
      <c r="R7" s="2365"/>
    </row>
    <row r="8" spans="1:29" ht="27">
      <c r="A8" s="431"/>
      <c r="B8" s="1795" t="s">
        <v>2091</v>
      </c>
      <c r="C8" s="2961" t="s">
        <v>3130</v>
      </c>
      <c r="D8" s="2372"/>
      <c r="E8" s="2372"/>
      <c r="F8" s="1133"/>
      <c r="G8" s="1133"/>
      <c r="H8" s="2365"/>
      <c r="I8" s="2365"/>
      <c r="J8" s="2365"/>
      <c r="K8" s="2365"/>
      <c r="L8" s="2365"/>
      <c r="M8" s="2365"/>
      <c r="N8" s="2365"/>
      <c r="O8" s="2365"/>
      <c r="P8" s="2365"/>
      <c r="Q8" s="2365"/>
      <c r="R8" s="2365"/>
    </row>
    <row r="9" spans="1:29" ht="40.5">
      <c r="A9" s="431"/>
      <c r="B9" s="1795" t="s">
        <v>2095</v>
      </c>
      <c r="C9" s="2960" t="s">
        <v>3131</v>
      </c>
      <c r="D9" s="2367"/>
      <c r="E9" s="2372"/>
      <c r="F9" s="1133"/>
      <c r="G9" s="1133"/>
      <c r="H9" s="2365"/>
      <c r="I9" s="2365"/>
      <c r="J9" s="2365"/>
      <c r="K9" s="2365"/>
      <c r="L9" s="2365"/>
      <c r="M9" s="2365"/>
      <c r="N9" s="2365"/>
      <c r="O9" s="2365"/>
      <c r="P9" s="2365"/>
      <c r="Q9" s="2365"/>
      <c r="R9" s="2365"/>
    </row>
    <row r="10" spans="1:29" s="117" customFormat="1" ht="15.75" thickBot="1">
      <c r="A10" s="2376"/>
      <c r="B10" s="2377" t="s">
        <v>2096</v>
      </c>
      <c r="C10" s="2378" t="s">
        <v>3132</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2" t="s">
        <v>2099</v>
      </c>
    </row>
    <row r="15" spans="1:29" ht="42.75">
      <c r="A15" s="68" t="s">
        <v>2100</v>
      </c>
      <c r="B15" s="1267" t="s">
        <v>2081</v>
      </c>
      <c r="C15" s="2398" t="str">
        <f>C3</f>
        <v>——</v>
      </c>
      <c r="D15" s="2367"/>
      <c r="E15" s="2399" t="s">
        <v>2101</v>
      </c>
      <c r="F15" s="1267" t="s">
        <v>2102</v>
      </c>
      <c r="G15" s="135" t="str">
        <f>G3</f>
        <v>估价对象位于XX开发区，园区建设成熟度XX，产业集聚程度XX</v>
      </c>
    </row>
    <row r="16" spans="1:29" ht="42.75">
      <c r="A16" s="645"/>
      <c r="B16" s="2400" t="s">
        <v>2084</v>
      </c>
      <c r="C16" s="2401" t="str">
        <f>C4</f>
        <v>——</v>
      </c>
      <c r="D16" s="2367"/>
      <c r="E16" s="2402"/>
      <c r="F16" s="2403" t="s">
        <v>2085</v>
      </c>
      <c r="G16" s="136" t="str">
        <f>G4</f>
        <v>估价对象周边道路状况、公共交通通达情况、停车便捷程度，综合评价交通便捷度较好</v>
      </c>
    </row>
    <row r="17" spans="1:18" ht="57">
      <c r="A17" s="645"/>
      <c r="B17" s="2400" t="s">
        <v>2087</v>
      </c>
      <c r="C17" s="2401" t="str">
        <f>C5</f>
        <v>估价对象位于国家环保产业园，周边办公楼项目较少，联动U谷，入驻率低，综合评价办公集聚程度较差</v>
      </c>
      <c r="D17" s="2372"/>
      <c r="E17" s="2402"/>
      <c r="F17" s="2403" t="s">
        <v>2103</v>
      </c>
      <c r="G17" s="1569"/>
    </row>
    <row r="18" spans="1:18" ht="42.75">
      <c r="A18" s="645"/>
      <c r="B18" s="2403" t="s">
        <v>2090</v>
      </c>
      <c r="C18" s="136" t="str">
        <f>C6</f>
        <v>周边有821等多条公交线路，北侧1.8km有南六环综合评价交通便捷度较差</v>
      </c>
      <c r="D18" s="2372"/>
      <c r="E18" s="2402"/>
      <c r="F18" s="2403" t="s">
        <v>2093</v>
      </c>
      <c r="G18" s="136" t="str">
        <f>G7</f>
        <v>该园区内是否有污染型企业，绿化情况，卫生条件，整体环境状况判断</v>
      </c>
    </row>
    <row r="19" spans="1:18" ht="28.5">
      <c r="A19" s="645"/>
      <c r="B19" s="2403" t="s">
        <v>2104</v>
      </c>
      <c r="C19" s="2962" t="s">
        <v>3133</v>
      </c>
      <c r="D19" s="2367"/>
      <c r="E19" s="2402"/>
      <c r="F19" s="1795" t="s">
        <v>2088</v>
      </c>
      <c r="G19" s="136" t="str">
        <f>G5</f>
        <v>估价对象所在区域公共配套设施齐备情况</v>
      </c>
    </row>
    <row r="20" spans="1:18" ht="42.75">
      <c r="A20" s="645"/>
      <c r="B20" s="2403" t="s">
        <v>2105</v>
      </c>
      <c r="C20" s="2401" t="str">
        <f>C9</f>
        <v>区域自然环境：凉水河；人文环境无；综合评价环境状况一般</v>
      </c>
      <c r="D20" s="2372"/>
      <c r="E20" s="2402"/>
      <c r="F20" s="1795" t="s">
        <v>2106</v>
      </c>
      <c r="G20" s="136" t="str">
        <f>G6</f>
        <v>估价对象所在区域基础设施水平</v>
      </c>
    </row>
    <row r="21" spans="1:18" ht="57">
      <c r="A21" s="645"/>
      <c r="B21" s="1795" t="s">
        <v>2088</v>
      </c>
      <c r="C21" s="136" t="str">
        <f>C7</f>
        <v>估价对象所在区域公共配套设施（超市：永辉超市(合生世界村店)、学校：海贝儿国际幼儿园）齐备度较差</v>
      </c>
      <c r="D21" s="2367"/>
      <c r="E21" s="2402"/>
      <c r="F21" s="2403" t="s">
        <v>2107</v>
      </c>
      <c r="G21" s="2404"/>
    </row>
    <row r="22" spans="1:18" ht="13.5" customHeight="1">
      <c r="A22" s="645"/>
      <c r="B22" s="1795" t="s">
        <v>2091</v>
      </c>
      <c r="C22" s="136" t="str">
        <f>C8</f>
        <v>估价对象所在区域基础设施水平六通一平；</v>
      </c>
      <c r="D22" s="2367"/>
      <c r="E22" s="2402"/>
      <c r="F22" s="2403" t="s">
        <v>2096</v>
      </c>
      <c r="G22" s="1569"/>
    </row>
    <row r="23" spans="1:18" s="2365" customFormat="1" ht="15.75" thickBot="1">
      <c r="A23" s="645"/>
      <c r="B23" s="2403" t="s">
        <v>2107</v>
      </c>
      <c r="C23" s="2404" t="s">
        <v>3134</v>
      </c>
      <c r="D23" s="2391"/>
      <c r="E23" s="2405"/>
      <c r="F23" s="2406" t="s">
        <v>2108</v>
      </c>
      <c r="G23" s="2407"/>
      <c r="H23" s="2391"/>
      <c r="I23" s="2392"/>
      <c r="J23" s="2391"/>
      <c r="K23" s="2391"/>
      <c r="L23" s="2392"/>
      <c r="M23" s="2391"/>
      <c r="N23" s="2391"/>
      <c r="O23" s="2392"/>
      <c r="P23" s="2391"/>
      <c r="Q23" s="2391"/>
      <c r="R23" s="2393"/>
    </row>
    <row r="24" spans="1:18" s="2365" customFormat="1" ht="15.75" thickBot="1">
      <c r="A24" s="2408"/>
      <c r="B24" s="2406" t="s">
        <v>2109</v>
      </c>
      <c r="C24" s="137" t="str">
        <f>C10</f>
        <v>城市支路——房辛路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RowHeight="13.5"/>
  <cols>
    <col min="1" max="1" width="23.375" style="1738" customWidth="1"/>
    <col min="2" max="9" width="15.75" style="1738" customWidth="1"/>
    <col min="10" max="16384" width="9" style="1738"/>
  </cols>
  <sheetData>
    <row r="1" spans="1:10" ht="16.5">
      <c r="A1" s="1743" t="s">
        <v>1361</v>
      </c>
      <c r="B1" s="1743">
        <f>SUM(B14:B23)</f>
        <v>308378.43</v>
      </c>
      <c r="C1" s="1742"/>
      <c r="D1" s="1742"/>
      <c r="E1" s="1742"/>
      <c r="F1" s="1742"/>
      <c r="G1" s="1740"/>
    </row>
    <row r="2" spans="1:10" ht="16.5">
      <c r="A2" s="1743" t="s">
        <v>1349</v>
      </c>
      <c r="B2" s="1743">
        <f>SUM(C14:C23)</f>
        <v>66865.89</v>
      </c>
      <c r="C2" s="1742"/>
      <c r="D2" s="1742"/>
      <c r="E2" s="1742"/>
      <c r="F2" s="1742"/>
      <c r="G2" s="1740"/>
    </row>
    <row r="3" spans="1:10" ht="16.5">
      <c r="A3" s="1743" t="s">
        <v>1358</v>
      </c>
      <c r="B3" s="1744">
        <f>项目基本情况!D3</f>
        <v>43439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309804</v>
      </c>
      <c r="C5" s="1743">
        <f ca="1">ROUND(B5*10000/$B$1,0)</f>
        <v>10046</v>
      </c>
      <c r="D5" s="1743">
        <f ca="1">ROUND(B5*10000/$B$2,0)</f>
        <v>46332</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309804</v>
      </c>
      <c r="C7" s="1743">
        <f ca="1">ROUND(B7*10000/$B$1,0)</f>
        <v>10046</v>
      </c>
      <c r="D7" s="1743">
        <f ca="1">ROUND(B7*10000/$B$2,0)</f>
        <v>46332</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112500.81000000001</v>
      </c>
      <c r="C14" s="1741">
        <f>结果表!C118</f>
        <v>24393.62</v>
      </c>
      <c r="D14" s="1741">
        <f ca="1">结果表!H118</f>
        <v>98012</v>
      </c>
      <c r="E14" s="1741">
        <f ca="1">ROUND(D14*10000/B14,0)</f>
        <v>8712</v>
      </c>
      <c r="F14" s="1741">
        <f ca="1">ROUND(D14*10000/C14,0)</f>
        <v>40179</v>
      </c>
      <c r="G14" s="1741" t="str">
        <f>结果表!D122</f>
        <v>——</v>
      </c>
      <c r="H14" s="1741">
        <f ca="1">结果表!D124</f>
        <v>98012</v>
      </c>
      <c r="I14" s="1741" t="str">
        <f>结果表!D126</f>
        <v>——</v>
      </c>
      <c r="J14" s="1740"/>
    </row>
    <row r="15" spans="1:10" ht="16.5">
      <c r="A15" s="1739" t="s">
        <v>1345</v>
      </c>
      <c r="B15" s="1746">
        <f>[1]系统读取表!$B$14</f>
        <v>195877.62</v>
      </c>
      <c r="C15" s="1746">
        <f>[1]系统读取表!$C$14</f>
        <v>42472.27</v>
      </c>
      <c r="D15" s="1746">
        <f ca="1">[1]系统读取表!$D$14</f>
        <v>211792</v>
      </c>
      <c r="E15" s="1741">
        <f t="shared" ref="E15:E23" ca="1" si="0">ROUND(D15*10000/B15,0)</f>
        <v>10812</v>
      </c>
      <c r="F15" s="1741">
        <f t="shared" ref="F15:F23" ca="1" si="1">ROUND(D15*10000/C15,0)</f>
        <v>49866</v>
      </c>
      <c r="G15" s="1747"/>
      <c r="H15" s="1747">
        <f ca="1">[1]系统读取表!$G$14</f>
        <v>211792</v>
      </c>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D120" sqref="D120:I12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8" t="s">
        <v>2112</v>
      </c>
      <c r="H1" s="2417" t="str">
        <f>IF(G1="现房","——","估价对象范围")</f>
        <v>估价对象范围</v>
      </c>
      <c r="I1" s="2418"/>
    </row>
    <row r="2" spans="1:12" ht="21.75" customHeight="1" thickBot="1">
      <c r="A2" s="3147"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2" s="3148"/>
      <c r="C2" s="3148"/>
      <c r="D2" s="3148"/>
      <c r="E2" s="3148"/>
      <c r="F2" s="3148"/>
      <c r="G2" s="3148"/>
      <c r="H2" s="3148"/>
      <c r="I2" s="3149"/>
    </row>
    <row r="3" spans="1:12" ht="12.75">
      <c r="A3" s="3150" t="s">
        <v>2113</v>
      </c>
      <c r="B3" s="3151"/>
      <c r="C3" s="3151"/>
      <c r="D3" s="3151"/>
      <c r="E3" s="3151"/>
      <c r="F3" s="3151"/>
      <c r="G3" s="3151"/>
      <c r="H3" s="3151"/>
      <c r="I3" s="3151"/>
    </row>
    <row r="4" spans="1:12" ht="14.25">
      <c r="A4" s="2421" t="s">
        <v>2114</v>
      </c>
      <c r="B4" s="2422" t="s">
        <v>2115</v>
      </c>
      <c r="C4" s="2423" t="s">
        <v>3153</v>
      </c>
      <c r="D4" s="2423" t="s">
        <v>3154</v>
      </c>
      <c r="E4" s="3131" t="s">
        <v>2116</v>
      </c>
      <c r="F4" s="3144"/>
      <c r="G4" s="3144"/>
      <c r="H4" s="3144"/>
      <c r="I4" s="313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2" t="s">
        <v>2117</v>
      </c>
      <c r="B5" s="3037">
        <v>25</v>
      </c>
      <c r="C5" s="3152"/>
      <c r="D5" s="3140"/>
      <c r="E5" s="140" t="s">
        <v>2118</v>
      </c>
      <c r="F5" s="2425"/>
      <c r="G5" s="2425"/>
      <c r="H5" s="2425"/>
      <c r="I5" s="1831"/>
    </row>
    <row r="6" spans="1:12" ht="12.75">
      <c r="A6" s="3122"/>
      <c r="B6" s="3037"/>
      <c r="C6" s="3154"/>
      <c r="D6" s="3140"/>
      <c r="E6" s="140" t="s">
        <v>2119</v>
      </c>
      <c r="F6" s="2425"/>
      <c r="G6" s="2425"/>
      <c r="H6" s="2425"/>
      <c r="I6" s="1831"/>
    </row>
    <row r="7" spans="1:12" ht="12.75">
      <c r="A7" s="3122"/>
      <c r="B7" s="3037"/>
      <c r="C7" s="3153"/>
      <c r="D7" s="3140"/>
      <c r="E7" s="140" t="s">
        <v>2120</v>
      </c>
      <c r="F7" s="2425"/>
      <c r="G7" s="2425"/>
      <c r="H7" s="2425"/>
      <c r="I7" s="1831"/>
    </row>
    <row r="8" spans="1:12" ht="12.75">
      <c r="A8" s="3122" t="s">
        <v>2121</v>
      </c>
      <c r="B8" s="3037">
        <v>15</v>
      </c>
      <c r="C8" s="3152"/>
      <c r="D8" s="3140"/>
      <c r="E8" s="140" t="s">
        <v>2122</v>
      </c>
      <c r="F8" s="2425"/>
      <c r="G8" s="2425"/>
      <c r="H8" s="2425"/>
      <c r="I8" s="1831"/>
    </row>
    <row r="9" spans="1:12" ht="12.75">
      <c r="A9" s="3122"/>
      <c r="B9" s="3037"/>
      <c r="C9" s="3153"/>
      <c r="D9" s="3140"/>
      <c r="E9" s="140" t="s">
        <v>2123</v>
      </c>
      <c r="F9" s="2425"/>
      <c r="G9" s="2425"/>
      <c r="H9" s="2425"/>
      <c r="I9" s="1831"/>
    </row>
    <row r="10" spans="1:12" ht="12.75">
      <c r="A10" s="3122" t="s">
        <v>2124</v>
      </c>
      <c r="B10" s="3037">
        <v>15</v>
      </c>
      <c r="C10" s="3152"/>
      <c r="D10" s="3140"/>
      <c r="E10" s="140" t="s">
        <v>2125</v>
      </c>
      <c r="F10" s="2425"/>
      <c r="G10" s="2425"/>
      <c r="H10" s="2425"/>
      <c r="I10" s="1831"/>
    </row>
    <row r="11" spans="1:12" ht="12.75">
      <c r="A11" s="3122"/>
      <c r="B11" s="3037"/>
      <c r="C11" s="3153"/>
      <c r="D11" s="3140"/>
      <c r="E11" s="140" t="s">
        <v>2126</v>
      </c>
      <c r="F11" s="2425"/>
      <c r="G11" s="2425"/>
      <c r="H11" s="2425"/>
      <c r="I11" s="1831"/>
    </row>
    <row r="12" spans="1:12" ht="12.75">
      <c r="A12" s="3122" t="s">
        <v>2127</v>
      </c>
      <c r="B12" s="3037">
        <v>15</v>
      </c>
      <c r="C12" s="3152"/>
      <c r="D12" s="3140"/>
      <c r="E12" s="140" t="s">
        <v>2128</v>
      </c>
      <c r="F12" s="2425"/>
      <c r="G12" s="2425"/>
      <c r="H12" s="2425"/>
      <c r="I12" s="1831"/>
    </row>
    <row r="13" spans="1:12" ht="12.75">
      <c r="A13" s="3122"/>
      <c r="B13" s="3037"/>
      <c r="C13" s="3153"/>
      <c r="D13" s="3140"/>
      <c r="E13" s="140" t="s">
        <v>2129</v>
      </c>
      <c r="F13" s="2425"/>
      <c r="G13" s="2425"/>
      <c r="H13" s="2425"/>
      <c r="I13" s="1831"/>
    </row>
    <row r="14" spans="1:12" ht="12.75">
      <c r="A14" s="3122" t="s">
        <v>2130</v>
      </c>
      <c r="B14" s="3037">
        <v>30</v>
      </c>
      <c r="C14" s="3152">
        <v>5</v>
      </c>
      <c r="D14" s="3140">
        <v>5</v>
      </c>
      <c r="E14" s="140" t="s">
        <v>2131</v>
      </c>
      <c r="F14" s="2425"/>
      <c r="G14" s="2425"/>
      <c r="H14" s="2425"/>
      <c r="I14" s="1831"/>
    </row>
    <row r="15" spans="1:12" ht="12.75">
      <c r="A15" s="3122"/>
      <c r="B15" s="3037"/>
      <c r="C15" s="3154"/>
      <c r="D15" s="3140"/>
      <c r="E15" s="140" t="s">
        <v>2132</v>
      </c>
      <c r="F15" s="2425"/>
      <c r="G15" s="2425"/>
      <c r="H15" s="2425"/>
      <c r="I15" s="1831"/>
    </row>
    <row r="16" spans="1:12" ht="12.75">
      <c r="A16" s="3122"/>
      <c r="B16" s="3037"/>
      <c r="C16" s="3153"/>
      <c r="D16" s="3140"/>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112500.81000000001</v>
      </c>
      <c r="M18" s="2424">
        <f>IF(C1="",'数据-汇总表'!E3,SUMIF(项目类型,C1,'数据-汇总表'!E17:E26))</f>
        <v>112500.81000000001</v>
      </c>
    </row>
    <row r="19" spans="1:35" ht="15">
      <c r="A19" s="2430" t="s">
        <v>2139</v>
      </c>
      <c r="B19" s="2431" t="s">
        <v>2140</v>
      </c>
      <c r="C19" s="143">
        <f ca="1">SUMIF(INDIRECT("'"&amp;C4&amp;"'"&amp;"!A:A"),结果表!B19,INDIRECT("'"&amp;C4&amp;"'"&amp;"!B:B"))</f>
        <v>106469</v>
      </c>
      <c r="D19" s="144">
        <f ca="1">SUMIF(INDIRECT("'"&amp;D4&amp;"'"&amp;"!A:A"),结果表!B19,INDIRECT("'"&amp;D4&amp;"'"&amp;"!B:B"))</f>
        <v>89554</v>
      </c>
      <c r="E19" s="2430" t="s">
        <v>2141</v>
      </c>
      <c r="F19" s="2431" t="s">
        <v>2140</v>
      </c>
      <c r="G19" s="145">
        <f ca="1">ROUND(C19*$C$18+D19*$D$18,0)</f>
        <v>98012</v>
      </c>
      <c r="H19" s="2432" t="s">
        <v>2142</v>
      </c>
      <c r="I19" s="138"/>
      <c r="K19" s="2424" t="s">
        <v>2143</v>
      </c>
      <c r="L19" s="2424">
        <f>IF(C1="",'数据-汇总表'!D3,SUMIF(项目类型,C1,'数据-汇总表'!D17:D26)+SUMIF(项目类型,C1,'数据-汇总表'!H17:H27))</f>
        <v>24393.62</v>
      </c>
      <c r="M19" s="2424">
        <f>IF(C1="",'数据-汇总表'!D3,SUMIF(项目类型,C1,'数据-汇总表'!D17:D26))</f>
        <v>24393.62</v>
      </c>
    </row>
    <row r="20" spans="1:35" ht="15">
      <c r="A20" s="2433"/>
      <c r="B20" s="1247" t="s">
        <v>2144</v>
      </c>
      <c r="C20" s="146">
        <f ca="1">SUMIF(INDIRECT("'"&amp;C4&amp;"'"&amp;"!A:A"),结果表!B20,INDIRECT("'"&amp;C4&amp;"'"&amp;"!B:B"))</f>
        <v>9464</v>
      </c>
      <c r="D20" s="147">
        <f ca="1">SUMIF(INDIRECT("'"&amp;D4&amp;"'"&amp;"!A:A"),结果表!B20,INDIRECT("'"&amp;D4&amp;"'"&amp;"!B:B"))</f>
        <v>7960</v>
      </c>
      <c r="E20" s="2433"/>
      <c r="F20" s="1247" t="s">
        <v>2144</v>
      </c>
      <c r="G20" s="148">
        <f ca="1">ROUND(C20*$C$18+D20*$D$18,0)</f>
        <v>8712</v>
      </c>
      <c r="H20" s="980" t="s">
        <v>2145</v>
      </c>
      <c r="I20" s="138"/>
    </row>
    <row r="21" spans="1:35" ht="15" customHeight="1" thickBot="1">
      <c r="A21" s="1000"/>
      <c r="B21" s="2434" t="s">
        <v>2146</v>
      </c>
      <c r="C21" s="789">
        <f ca="1">ROUND(C19*10000/L19,0)</f>
        <v>43646</v>
      </c>
      <c r="D21" s="790">
        <f ca="1">ROUND(D19*10000/L19,0)</f>
        <v>36712</v>
      </c>
      <c r="E21" s="1000"/>
      <c r="F21" s="2434" t="s">
        <v>2146</v>
      </c>
      <c r="G21" s="149">
        <f ca="1">ROUND(G19*10000/L19,0)</f>
        <v>40179</v>
      </c>
      <c r="H21" s="2435" t="s">
        <v>2145</v>
      </c>
      <c r="I21" s="138"/>
    </row>
    <row r="22" spans="1:35" ht="15" thickBot="1">
      <c r="A22" s="2278" t="s">
        <v>2147</v>
      </c>
      <c r="B22" s="2436"/>
      <c r="C22" s="2437"/>
      <c r="D22" s="791">
        <f ca="1">IF(C19&lt;D19,D19/C19-1,C19/D19-1)</f>
        <v>0.18888045201777692</v>
      </c>
      <c r="E22" s="138"/>
      <c r="F22" s="138"/>
      <c r="G22" s="138"/>
      <c r="H22" s="138"/>
      <c r="I22" s="138"/>
    </row>
    <row r="23" spans="1:35" ht="13.5" thickBot="1">
      <c r="A23" s="2414"/>
      <c r="B23" s="2414"/>
      <c r="C23" s="2414"/>
      <c r="D23" s="2414"/>
      <c r="E23" s="138"/>
      <c r="F23" s="138"/>
      <c r="G23" s="138"/>
      <c r="H23" s="138"/>
      <c r="I23" s="138"/>
    </row>
    <row r="24" spans="1:35" ht="14.25">
      <c r="A24" s="3161" t="s">
        <v>2148</v>
      </c>
      <c r="B24" s="2431" t="s">
        <v>2140</v>
      </c>
      <c r="C24" s="145">
        <f>IF(B30=0,0,D30)</f>
        <v>0</v>
      </c>
      <c r="D24" s="2438"/>
      <c r="E24" s="138"/>
      <c r="F24" s="138"/>
      <c r="G24" s="138"/>
      <c r="H24" s="138"/>
      <c r="I24" s="138"/>
    </row>
    <row r="25" spans="1:35" ht="14.25">
      <c r="A25" s="3162"/>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98012</v>
      </c>
      <c r="D32" s="2445" t="s">
        <v>2155</v>
      </c>
      <c r="E32" s="138"/>
      <c r="F32" s="138"/>
      <c r="G32" s="138"/>
      <c r="H32" s="138"/>
      <c r="I32" s="138"/>
    </row>
    <row r="33" spans="1:15" ht="15">
      <c r="A33" s="957" t="s">
        <v>2156</v>
      </c>
      <c r="B33" s="2446"/>
      <c r="C33" s="2447" t="s">
        <v>3155</v>
      </c>
      <c r="D33" s="2448" t="s">
        <v>3153</v>
      </c>
      <c r="E33" s="2449" t="s">
        <v>2157</v>
      </c>
      <c r="F33" s="2450" t="str">
        <f>IF(D32="楼面单价","取值（单价）","取值（总价）")</f>
        <v>取值（总价）</v>
      </c>
      <c r="G33" s="138"/>
      <c r="H33" s="138"/>
      <c r="I33" s="138"/>
    </row>
    <row r="34" spans="1:15" ht="15">
      <c r="A34" s="2451"/>
      <c r="B34" s="2452" t="s">
        <v>2158</v>
      </c>
      <c r="C34" s="157">
        <f ca="1">IF(C33="自定义",F34,C32-C35)</f>
        <v>42635</v>
      </c>
      <c r="D34" s="1055">
        <f ca="1">IF(C33="自定义",ROUND(C34/C32,3),IF(C33="收益比率",SUMIF(INDIRECT("'"&amp;D33&amp;"'"&amp;"!b:b"),"土地收益比率",INDIRECT("'"&amp;D33&amp;"'"&amp;"!c:c")),SUMIF(INDIRECT("'"&amp;D33&amp;"'"&amp;"!b:b"),"土地成本比率",INDIRECT("'"&amp;D33&amp;"'"&amp;"!c:c"))))</f>
        <v>0.43500000000000005</v>
      </c>
      <c r="E34" s="2453" t="s">
        <v>2159</v>
      </c>
      <c r="F34" s="1736"/>
      <c r="G34" s="138"/>
      <c r="H34" s="138"/>
      <c r="I34" s="138"/>
    </row>
    <row r="35" spans="1:15" ht="15.75" thickBot="1">
      <c r="A35" s="2454"/>
      <c r="B35" s="2455" t="s">
        <v>2160</v>
      </c>
      <c r="C35" s="1441">
        <f ca="1">IF(C33="自定义",F35,ROUND(C32*D35,0))</f>
        <v>55377</v>
      </c>
      <c r="D35" s="1442">
        <f ca="1">IF(C33="自定义",ROUND(C35/C32,3),IF(C33="收益比率",SUMIF(INDIRECT("'"&amp;D33&amp;"'"&amp;"!b:b"),"建筑物收益比率",INDIRECT("'"&amp;D33&amp;"'"&amp;"!c:c")),SUMIF(INDIRECT("'"&amp;D33&amp;"'"&amp;"!b:b"),"建筑物成本比率",INDIRECT("'"&amp;D33&amp;"'"&amp;"!c:c"))))</f>
        <v>0.56499999999999995</v>
      </c>
      <c r="E35" s="2456" t="s">
        <v>2161</v>
      </c>
      <c r="F35" s="163"/>
      <c r="G35" s="138"/>
      <c r="H35" s="138"/>
      <c r="I35" s="138"/>
    </row>
    <row r="36" spans="1:15" ht="15.75" thickBot="1">
      <c r="A36" s="3141" t="s">
        <v>2162</v>
      </c>
      <c r="B36" s="2457" t="s">
        <v>2163</v>
      </c>
      <c r="C36" s="154"/>
      <c r="D36" s="2458"/>
      <c r="E36" s="2459"/>
      <c r="F36" s="2460"/>
      <c r="G36" s="138"/>
      <c r="H36" s="138"/>
      <c r="I36" s="138"/>
    </row>
    <row r="37" spans="1:15" ht="15.75" thickBot="1">
      <c r="A37" s="3142"/>
      <c r="B37" s="2264" t="s">
        <v>2164</v>
      </c>
      <c r="C37" s="156"/>
      <c r="D37" s="1392"/>
      <c r="E37" s="1392"/>
      <c r="F37" s="2460"/>
      <c r="G37" s="138"/>
      <c r="H37" s="138"/>
      <c r="I37" s="138"/>
    </row>
    <row r="38" spans="1:15" ht="15.75" thickBot="1">
      <c r="A38" s="3143"/>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58" t="s">
        <v>2176</v>
      </c>
      <c r="B45" s="3159"/>
      <c r="C45" s="3160"/>
      <c r="D45" s="164">
        <f ca="1">ROUND(H101*F45,0)</f>
        <v>98012</v>
      </c>
      <c r="E45" s="165" t="s">
        <v>2177</v>
      </c>
      <c r="F45" s="166">
        <v>1</v>
      </c>
      <c r="G45" s="167" t="s">
        <v>2178</v>
      </c>
      <c r="H45" s="138"/>
      <c r="I45" s="138"/>
      <c r="J45" s="3077" t="s">
        <v>2179</v>
      </c>
      <c r="K45" s="3077"/>
      <c r="L45" s="3077"/>
      <c r="M45" s="3077"/>
      <c r="N45" s="3077"/>
      <c r="O45" s="3077"/>
    </row>
    <row r="46" spans="1:15" ht="14.25" customHeight="1">
      <c r="A46" s="3155" t="s">
        <v>2180</v>
      </c>
      <c r="B46" s="3156"/>
      <c r="C46" s="3156"/>
      <c r="D46" s="3156"/>
      <c r="E46" s="3156"/>
      <c r="F46" s="3156"/>
      <c r="G46" s="3157"/>
      <c r="H46" s="2476"/>
      <c r="I46" s="168"/>
      <c r="J46" s="1809">
        <v>1</v>
      </c>
      <c r="K46" s="3077" t="s">
        <v>2181</v>
      </c>
      <c r="L46" s="3077"/>
      <c r="M46" s="3078"/>
      <c r="N46" s="3078"/>
      <c r="O46" s="3078"/>
    </row>
    <row r="47" spans="1:15" ht="12" customHeight="1">
      <c r="A47" s="169" t="s">
        <v>2182</v>
      </c>
      <c r="B47" s="170"/>
      <c r="C47" s="171"/>
      <c r="D47" s="172" t="s">
        <v>2183</v>
      </c>
      <c r="E47" s="24" t="s">
        <v>2184</v>
      </c>
      <c r="F47" s="173" t="s">
        <v>2185</v>
      </c>
      <c r="G47" s="174" t="s">
        <v>2186</v>
      </c>
      <c r="H47" s="2476"/>
      <c r="I47" s="168"/>
      <c r="J47" s="1809">
        <v>2</v>
      </c>
      <c r="K47" s="3077" t="s">
        <v>2187</v>
      </c>
      <c r="L47" s="3077"/>
      <c r="M47" s="3079">
        <f>'数据-取费表'!B2</f>
        <v>43439</v>
      </c>
      <c r="N47" s="3079"/>
      <c r="O47" s="3079"/>
    </row>
    <row r="48" spans="1:15" ht="25.5">
      <c r="A48" s="3145" t="s">
        <v>2188</v>
      </c>
      <c r="B48" s="3146"/>
      <c r="C48" s="3146"/>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077" t="s">
        <v>2191</v>
      </c>
      <c r="L48" s="3077"/>
      <c r="M48" s="3080">
        <f ca="1">H101</f>
        <v>98012</v>
      </c>
      <c r="N48" s="3080"/>
      <c r="O48" s="3080"/>
    </row>
    <row r="49" spans="1:35" ht="25.5" customHeight="1">
      <c r="A49" s="176" t="s">
        <v>2192</v>
      </c>
      <c r="B49" s="3125" t="s">
        <v>2193</v>
      </c>
      <c r="C49" s="3125"/>
      <c r="D49" s="177">
        <v>0</v>
      </c>
      <c r="E49" s="23" t="s">
        <v>2194</v>
      </c>
      <c r="F49" s="28" t="s">
        <v>34</v>
      </c>
      <c r="G49" s="3106"/>
      <c r="H49" s="138"/>
      <c r="I49" s="2479"/>
      <c r="J49" s="1809">
        <v>4</v>
      </c>
      <c r="K49" s="3077" t="str">
        <f>IF(项目基本情况!E8="房地产抵押价值","房地产抵押价值","抵押担保权已注销时的房地产抵押价值")</f>
        <v>抵押担保权已注销时的房地产抵押价值</v>
      </c>
      <c r="L49" s="3077"/>
      <c r="M49" s="3080">
        <f ca="1">IF(项目基本情况!E8="房地产抵押价值",H107,H109)</f>
        <v>98012</v>
      </c>
      <c r="N49" s="3080"/>
      <c r="O49" s="3080"/>
    </row>
    <row r="50" spans="1:35" ht="25.5" customHeight="1">
      <c r="A50" s="178"/>
      <c r="B50" s="3125" t="s">
        <v>2195</v>
      </c>
      <c r="C50" s="3125"/>
      <c r="D50" s="179"/>
      <c r="E50" s="31"/>
      <c r="F50" s="180"/>
      <c r="G50" s="3107"/>
      <c r="H50" s="138"/>
      <c r="I50" s="2479"/>
      <c r="J50" s="3077" t="s">
        <v>2196</v>
      </c>
      <c r="K50" s="3077"/>
      <c r="L50" s="3077"/>
      <c r="M50" s="3077"/>
      <c r="N50" s="3077"/>
      <c r="O50" s="3077"/>
    </row>
    <row r="51" spans="1:35" ht="12" customHeight="1">
      <c r="A51" s="181"/>
      <c r="B51" s="3125" t="s">
        <v>2197</v>
      </c>
      <c r="C51" s="3125"/>
      <c r="D51" s="182"/>
      <c r="E51" s="30"/>
      <c r="F51" s="180"/>
      <c r="G51" s="3108"/>
      <c r="H51" s="138"/>
      <c r="I51" s="2479"/>
      <c r="J51" s="2480" t="s">
        <v>2198</v>
      </c>
      <c r="K51" s="3077" t="s">
        <v>2199</v>
      </c>
      <c r="L51" s="3077"/>
      <c r="M51" s="2480" t="s">
        <v>2200</v>
      </c>
      <c r="N51" s="2480" t="s">
        <v>2201</v>
      </c>
      <c r="O51" s="2480" t="s">
        <v>2202</v>
      </c>
    </row>
    <row r="52" spans="1:35" ht="24" customHeight="1">
      <c r="A52" s="183" t="s">
        <v>2203</v>
      </c>
      <c r="B52" s="3125" t="s">
        <v>2204</v>
      </c>
      <c r="C52" s="3125"/>
      <c r="D52" s="182">
        <f ca="1">ROUND(D45*'数据-取费表'!B41/(1+'数据-取费表'!C42),0)</f>
        <v>5134</v>
      </c>
      <c r="E52" s="11" t="s">
        <v>2205</v>
      </c>
      <c r="F52" s="184">
        <f>'数据-取费表'!B41</f>
        <v>5.5000000000000007E-2</v>
      </c>
      <c r="G52" s="2481"/>
      <c r="H52" s="138"/>
      <c r="I52" s="2479"/>
      <c r="J52" s="1809">
        <v>1</v>
      </c>
      <c r="K52" s="3100" t="s">
        <v>2206</v>
      </c>
      <c r="L52" s="3100"/>
      <c r="M52" s="1751">
        <f>D48</f>
        <v>0</v>
      </c>
      <c r="N52" s="1809" t="str">
        <f>E48</f>
        <v>销售额×税（费）率</v>
      </c>
      <c r="O52" s="1752" t="str">
        <f>F48</f>
        <v>免征</v>
      </c>
    </row>
    <row r="53" spans="1:35" ht="12" customHeight="1">
      <c r="A53" s="183" t="s">
        <v>2207</v>
      </c>
      <c r="B53" s="3126" t="s">
        <v>2208</v>
      </c>
      <c r="C53" s="3127"/>
      <c r="D53" s="182">
        <f ca="1">ROUND(D45*'数据-取费表'!B41/(1+'数据-取费表'!C42),0)</f>
        <v>5134</v>
      </c>
      <c r="E53" s="11" t="s">
        <v>2205</v>
      </c>
      <c r="F53" s="184">
        <f>'数据-取费表'!B41</f>
        <v>5.5000000000000007E-2</v>
      </c>
      <c r="G53" s="2481"/>
      <c r="H53" s="138"/>
      <c r="I53" s="2479"/>
      <c r="J53" s="1809">
        <v>2</v>
      </c>
      <c r="K53" s="3100" t="s">
        <v>2209</v>
      </c>
      <c r="L53" s="3100"/>
      <c r="M53" s="1751">
        <f t="shared" ref="M53:O54" ca="1" si="0">D55</f>
        <v>49</v>
      </c>
      <c r="N53" s="1809" t="str">
        <f t="shared" si="0"/>
        <v>销售额×税（费）率</v>
      </c>
      <c r="O53" s="1752">
        <f t="shared" si="0"/>
        <v>5.0000000000000001E-4</v>
      </c>
    </row>
    <row r="54" spans="1:35" ht="12" customHeight="1">
      <c r="A54" s="183" t="s">
        <v>2210</v>
      </c>
      <c r="B54" s="3126" t="s">
        <v>2211</v>
      </c>
      <c r="C54" s="3127"/>
      <c r="D54" s="182">
        <f ca="1">C68</f>
        <v>5134</v>
      </c>
      <c r="E54" s="30" t="s">
        <v>2212</v>
      </c>
      <c r="F54" s="184">
        <f>'数据-取费表'!B41</f>
        <v>5.5000000000000007E-2</v>
      </c>
      <c r="G54" s="2481"/>
      <c r="H54" s="2482"/>
      <c r="I54" s="2479"/>
      <c r="J54" s="1809">
        <v>3</v>
      </c>
      <c r="K54" s="3100" t="s">
        <v>2213</v>
      </c>
      <c r="L54" s="3100"/>
      <c r="M54" s="1751">
        <f t="shared" ca="1" si="0"/>
        <v>55563</v>
      </c>
      <c r="N54" s="1809" t="str">
        <f t="shared" si="0"/>
        <v>增值额×税（费）率</v>
      </c>
      <c r="O54" s="1753" t="str">
        <f t="shared" si="0"/>
        <v>——</v>
      </c>
    </row>
    <row r="55" spans="1:35" ht="24" customHeight="1">
      <c r="A55" s="3164" t="s">
        <v>2214</v>
      </c>
      <c r="B55" s="3146"/>
      <c r="C55" s="3146"/>
      <c r="D55" s="185">
        <f ca="1">IF(H55="个人住宅",0,ROUND(D45*I55,0))</f>
        <v>49</v>
      </c>
      <c r="E55" s="11" t="s">
        <v>2215</v>
      </c>
      <c r="F55" s="184">
        <f>IF(H55="正常",I55,"免征")</f>
        <v>5.0000000000000001E-4</v>
      </c>
      <c r="G55" s="2481"/>
      <c r="H55" s="2478" t="s">
        <v>2216</v>
      </c>
      <c r="I55" s="186">
        <f>'数据-取费表'!B49</f>
        <v>5.0000000000000001E-4</v>
      </c>
      <c r="J55" s="1809" t="str">
        <f>IF(H59="非个人房产","",4)</f>
        <v/>
      </c>
      <c r="K55" s="3100" t="str">
        <f>IF(H59="非个人房产","——","个人所得税")</f>
        <v>——</v>
      </c>
      <c r="L55" s="3100"/>
      <c r="M55" s="1754" t="str">
        <f>D59</f>
        <v>——</v>
      </c>
      <c r="N55" s="1807" t="str">
        <f>E59</f>
        <v>——</v>
      </c>
      <c r="O55" s="1755" t="str">
        <f>F59</f>
        <v>——</v>
      </c>
    </row>
    <row r="56" spans="1:35" ht="24.75">
      <c r="A56" s="3164" t="s">
        <v>2217</v>
      </c>
      <c r="B56" s="3146"/>
      <c r="C56" s="3146"/>
      <c r="D56" s="185">
        <f ca="1">IF(H56="个人住宅",D57,D58)</f>
        <v>55563</v>
      </c>
      <c r="E56" s="11" t="s">
        <v>2218</v>
      </c>
      <c r="F56" s="184" t="str">
        <f>IF(H56="正常",F58,"免征")</f>
        <v>——</v>
      </c>
      <c r="G56" s="2483" t="s">
        <v>2219</v>
      </c>
      <c r="H56" s="2484" t="s">
        <v>2216</v>
      </c>
      <c r="I56" s="2485"/>
      <c r="J56" s="1809"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2.75">
      <c r="A57" s="183" t="s">
        <v>2192</v>
      </c>
      <c r="B57" s="3131" t="s">
        <v>2220</v>
      </c>
      <c r="C57" s="3132"/>
      <c r="D57" s="187">
        <v>0</v>
      </c>
      <c r="E57" s="23" t="s">
        <v>2194</v>
      </c>
      <c r="F57" s="155"/>
      <c r="G57" s="2481"/>
      <c r="H57" s="2485"/>
      <c r="I57" s="2485"/>
      <c r="J57" s="3100">
        <f>IF(AND(J55="",J56=""),4,IF(项目基本情况!K6="上海银行",结果表!J56+1,结果表!J55+1))</f>
        <v>4</v>
      </c>
      <c r="K57" s="3100" t="s">
        <v>2221</v>
      </c>
      <c r="L57" s="2486" t="s">
        <v>2222</v>
      </c>
      <c r="M57" s="1756"/>
      <c r="N57" s="1757">
        <f ca="1">SUMIF(M52:M56,"&lt;9e307")</f>
        <v>55612</v>
      </c>
      <c r="O57" s="2487"/>
      <c r="P57" s="1750">
        <f ca="1">N57/M49</f>
        <v>0.56739991021507574</v>
      </c>
    </row>
    <row r="58" spans="1:35" ht="24.75">
      <c r="A58" s="183" t="s">
        <v>2203</v>
      </c>
      <c r="B58" s="3131" t="s">
        <v>2223</v>
      </c>
      <c r="C58" s="3144"/>
      <c r="D58" s="185">
        <f ca="1">IF(H58="转让取得",C81,C97)</f>
        <v>55563</v>
      </c>
      <c r="E58" s="11" t="s">
        <v>2218</v>
      </c>
      <c r="F58" s="24" t="s">
        <v>34</v>
      </c>
      <c r="G58" s="2481"/>
      <c r="H58" s="2484" t="s">
        <v>2224</v>
      </c>
      <c r="I58" s="2485"/>
      <c r="J58" s="3100"/>
      <c r="K58" s="3100"/>
      <c r="L58" s="2486" t="s">
        <v>2225</v>
      </c>
      <c r="M58" s="1758"/>
      <c r="N58" s="2488" t="str">
        <f ca="1">NUMBERSTRING(INT(N57*10000),2)&amp;"元整"</f>
        <v>伍亿伍仟陆佰壹拾贰万元整</v>
      </c>
      <c r="O58" s="2489"/>
    </row>
    <row r="59" spans="1:35" ht="24.75" thickBot="1">
      <c r="A59" s="3104" t="s">
        <v>2226</v>
      </c>
      <c r="B59" s="3105"/>
      <c r="C59" s="3105"/>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02">
        <f>J57+1</f>
        <v>5</v>
      </c>
      <c r="K59" s="3100" t="s">
        <v>2228</v>
      </c>
      <c r="L59" s="1809" t="s">
        <v>2222</v>
      </c>
      <c r="M59" s="1759"/>
      <c r="N59" s="1760">
        <f ca="1">M49-N57</f>
        <v>42400</v>
      </c>
      <c r="O59" s="2491"/>
    </row>
    <row r="60" spans="1:35" ht="12" customHeight="1">
      <c r="A60" s="2492"/>
      <c r="B60" s="2414"/>
      <c r="C60" s="2414"/>
      <c r="D60" s="2414"/>
      <c r="E60" s="2164"/>
      <c r="F60" s="2485"/>
      <c r="G60" s="2485"/>
      <c r="H60" s="2493"/>
      <c r="I60" s="138"/>
      <c r="J60" s="3103"/>
      <c r="K60" s="3100"/>
      <c r="L60" s="2486" t="s">
        <v>2225</v>
      </c>
      <c r="M60" s="1758"/>
      <c r="N60" s="2488" t="str">
        <f ca="1">NUMBERSTRING(INT(N59*10000),2)&amp;"元整"</f>
        <v>肆亿贰仟肆佰万元整</v>
      </c>
      <c r="O60" s="2489"/>
    </row>
    <row r="61" spans="1:35" ht="13.5" thickBot="1">
      <c r="A61" s="3163" t="s">
        <v>2229</v>
      </c>
      <c r="B61" s="3163"/>
      <c r="C61" s="3163"/>
      <c r="D61" s="3163"/>
      <c r="E61" s="3163"/>
      <c r="F61" s="2485"/>
      <c r="G61" s="2485"/>
      <c r="H61" s="2493"/>
      <c r="I61" s="138"/>
      <c r="J61" s="1809">
        <f>J59+1</f>
        <v>6</v>
      </c>
      <c r="K61" s="3100" t="s">
        <v>2230</v>
      </c>
      <c r="L61" s="3100"/>
      <c r="M61" s="1761"/>
      <c r="N61" s="1762">
        <f ca="1">ROUND(N59*10000/'数据-汇总表'!E3,0)</f>
        <v>3769</v>
      </c>
      <c r="O61" s="2494"/>
    </row>
    <row r="62" spans="1:35" ht="12.75">
      <c r="A62" s="3120" t="s">
        <v>2231</v>
      </c>
      <c r="B62" s="3121"/>
      <c r="C62" s="1801"/>
      <c r="D62" s="1801" t="s">
        <v>2232</v>
      </c>
      <c r="E62" s="192" t="s">
        <v>2233</v>
      </c>
      <c r="F62" s="2485"/>
      <c r="G62" s="2485"/>
      <c r="H62" s="2493"/>
      <c r="I62" s="138"/>
    </row>
    <row r="63" spans="1:35" ht="12.75">
      <c r="A63" s="203" t="s">
        <v>775</v>
      </c>
      <c r="B63" s="193" t="s">
        <v>2234</v>
      </c>
      <c r="C63" s="194">
        <f ca="1">ROUND((C64+C65)/(1+'数据-取费表'!C42),0)</f>
        <v>93345</v>
      </c>
      <c r="D63" s="195"/>
      <c r="E63" s="196"/>
      <c r="F63" s="2485"/>
      <c r="G63" s="2485"/>
      <c r="H63" s="2493"/>
      <c r="I63" s="138"/>
      <c r="J63" s="3085" t="s">
        <v>2235</v>
      </c>
      <c r="K63" s="2495" t="s">
        <v>2236</v>
      </c>
      <c r="L63" s="1749">
        <f ca="1">IF(M49&gt;10000,M49*0.5%,IF(AND(M49&gt;1000,M49&lt;=10000),M49*1%,IF(AND(M49&gt;100,M49&lt;=1000),M49*3%,IF(AND(M49&gt;10,M49&lt;=100),M49*5%,M49*8%))))</f>
        <v>490.06</v>
      </c>
      <c r="M63" s="24">
        <f ca="1">ROUND(L63,1)</f>
        <v>490.1</v>
      </c>
      <c r="Z63" s="2419"/>
      <c r="AI63" s="2420"/>
    </row>
    <row r="64" spans="1:35" ht="14.25" customHeight="1">
      <c r="A64" s="197" t="s">
        <v>770</v>
      </c>
      <c r="B64" s="198" t="s">
        <v>2237</v>
      </c>
      <c r="C64" s="199">
        <f ca="1">D45</f>
        <v>98012</v>
      </c>
      <c r="D64" s="200" t="s">
        <v>32</v>
      </c>
      <c r="E64" s="201"/>
      <c r="F64" s="2485"/>
      <c r="G64" s="2485"/>
      <c r="H64" s="2493"/>
      <c r="I64" s="138"/>
      <c r="J64" s="3085"/>
      <c r="K64" s="2495" t="s">
        <v>2238</v>
      </c>
      <c r="L64" s="1749">
        <f ca="1">IF(M49&gt;2000,M49*0.5%,IF(AND(M49&gt;1000,M49&lt;=2000),M49*0.6%,IF(AND(M49&gt;500,M49&lt;=1000),M49*0.7%,IF(AND(M49&gt;200,M49&lt;=500),M49*0.8%,IF(AND(M49&gt;100,M49&lt;=200),M49*0.9%,IF(AND(M49&gt;50,M49&lt;=100),M49*1%,IF(AND(M49&gt;20,M49&lt;=50),M49*1.5%,IF(AND(M49&gt;10,M49&lt;=20),M49*2%,IF(AND(M49&gt;1,M49&lt;=10),M49*2.5%)))))))))</f>
        <v>490.06</v>
      </c>
      <c r="M64" s="24">
        <f t="shared" ref="M64:M65" ca="1" si="1">ROUND(L64,1)</f>
        <v>490.1</v>
      </c>
      <c r="N64" s="138" t="s">
        <v>2239</v>
      </c>
      <c r="Z64" s="2419"/>
      <c r="AI64" s="2420"/>
    </row>
    <row r="65" spans="1:35" ht="14.25" customHeight="1">
      <c r="A65" s="197" t="s">
        <v>771</v>
      </c>
      <c r="B65" s="198" t="s">
        <v>2240</v>
      </c>
      <c r="C65" s="202"/>
      <c r="D65" s="200"/>
      <c r="E65" s="201"/>
      <c r="F65" s="2485"/>
      <c r="G65" s="2485"/>
      <c r="H65" s="2493"/>
      <c r="I65" s="138"/>
      <c r="J65" s="3085"/>
      <c r="K65" s="2495" t="s">
        <v>2241</v>
      </c>
      <c r="L65" s="1749">
        <f ca="1">IF(M49&gt;1000,M49*0.1%,IF(AND(M49&gt;500,M49&lt;=1000),M49*0.5%,IF(AND(M49&gt;50,M49&lt;=500),M49*1%,IF(AND(M49&gt;1,M49&lt;=50),M49*1.5%))))</f>
        <v>98.012</v>
      </c>
      <c r="M65" s="24">
        <f t="shared" ca="1" si="1"/>
        <v>98</v>
      </c>
      <c r="N65" s="138" t="s">
        <v>2239</v>
      </c>
      <c r="Z65" s="2419"/>
      <c r="AI65" s="2420"/>
    </row>
    <row r="66" spans="1:35" ht="14.25" customHeight="1">
      <c r="A66" s="203" t="s">
        <v>772</v>
      </c>
      <c r="B66" s="204" t="s">
        <v>2242</v>
      </c>
      <c r="C66" s="205"/>
      <c r="D66" s="206" t="s">
        <v>32</v>
      </c>
      <c r="E66" s="1773" t="s">
        <v>1367</v>
      </c>
      <c r="F66" s="2485"/>
      <c r="G66" s="2485"/>
      <c r="H66" s="2493"/>
      <c r="I66" s="138"/>
      <c r="J66" s="3085"/>
      <c r="K66" s="2495" t="s">
        <v>2243</v>
      </c>
      <c r="L66" s="1749">
        <f ca="1">M49*0.5%</f>
        <v>490.06</v>
      </c>
      <c r="M66" s="24">
        <f ca="1">IF(L66&gt;0.5,0.5,ROUND(L66,0))</f>
        <v>0.5</v>
      </c>
      <c r="N66" s="138" t="s">
        <v>2244</v>
      </c>
      <c r="Z66" s="2419"/>
      <c r="AI66" s="2420"/>
    </row>
    <row r="67" spans="1:35" ht="14.25" customHeight="1">
      <c r="A67" s="203" t="s">
        <v>773</v>
      </c>
      <c r="B67" s="204" t="s">
        <v>2245</v>
      </c>
      <c r="C67" s="207">
        <f ca="1">C63-C66</f>
        <v>93345</v>
      </c>
      <c r="D67" s="200" t="s">
        <v>32</v>
      </c>
      <c r="E67" s="201"/>
      <c r="F67" s="2485"/>
      <c r="G67" s="2485"/>
      <c r="H67" s="2493"/>
      <c r="I67" s="138"/>
      <c r="J67" s="3085"/>
      <c r="K67" s="2495" t="s">
        <v>2246</v>
      </c>
      <c r="L67" s="1749">
        <f ca="1">IF(M49&gt;=10000,(8.25+(M49-10000)*0.01%),IF(AND(M49&gt;=8000,M49&lt;10000),(7.85+(M49-8000)*0.02%),IF(AND(M49&gt;=5000,M49&lt;8000),(6.65+(M49-5000)*0.04%),IF(AND(M49&gt;=2000,M49&lt;5000),(4.25+(PM49-2000)*0.08%),IF(AND(M49&gt;=1000,M49&lt;2000),(2.75+(M49-1000)*0.15%),IF(AND(M49&gt;=100,M49&lt;1000),(0.5+(M49-100)*0.25%),IF(AND(M49&gt;0,M49&lt;100),M49*0.5%)))))))</f>
        <v>17.051200000000001</v>
      </c>
      <c r="M67" s="24">
        <f ca="1">ROUND(L67*0.9,1)</f>
        <v>15.3</v>
      </c>
      <c r="Z67" s="2419"/>
      <c r="AI67" s="2420"/>
    </row>
    <row r="68" spans="1:35" ht="14.25" customHeight="1" thickBot="1">
      <c r="A68" s="208" t="s">
        <v>774</v>
      </c>
      <c r="B68" s="209" t="s">
        <v>2247</v>
      </c>
      <c r="C68" s="210">
        <f ca="1">IF(C67&lt;=0,0,ROUND(C67*D68,0))</f>
        <v>5134</v>
      </c>
      <c r="D68" s="211">
        <f>'数据-取费表'!B41</f>
        <v>5.5000000000000007E-2</v>
      </c>
      <c r="E68" s="212"/>
      <c r="F68" s="2485"/>
      <c r="G68" s="2485"/>
      <c r="H68" s="2493"/>
      <c r="I68" s="138"/>
      <c r="J68" s="3085"/>
      <c r="K68" s="2495" t="s">
        <v>2248</v>
      </c>
      <c r="L68" s="1749">
        <f ca="1">IF(M49&gt;10000,M49*0.5%,IF(AND(M49&gt;5000,M49&lt;=10000),M49*1%,IF(AND(M49&gt;1000,M49&lt;=5000),M49*2%,IF(AND(M49&gt;200,M49&lt;=1000),M49*3%,M49*5%))))</f>
        <v>490.06</v>
      </c>
      <c r="M68" s="24">
        <f ca="1">ROUND(L68,1)</f>
        <v>490.1</v>
      </c>
      <c r="Z68" s="2419"/>
      <c r="AI68" s="2420"/>
    </row>
    <row r="69" spans="1:35" s="2442" customFormat="1" ht="16.5" customHeight="1">
      <c r="A69" s="2496"/>
      <c r="B69" s="2497"/>
      <c r="C69" s="2498"/>
      <c r="D69" s="2499"/>
      <c r="E69" s="2500"/>
      <c r="F69" s="2164"/>
      <c r="G69" s="2164"/>
      <c r="H69" s="2163"/>
      <c r="I69" s="2414"/>
      <c r="J69" s="3085"/>
      <c r="K69" s="2495" t="s">
        <v>2249</v>
      </c>
      <c r="L69" s="2501"/>
      <c r="M69" s="24">
        <f ca="1">ROUND(SUM(M63:M68),0)</f>
        <v>1584</v>
      </c>
      <c r="N69" s="1750">
        <f ca="1">M69/M49</f>
        <v>1.6161286373097172E-2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9" t="s">
        <v>2250</v>
      </c>
      <c r="B70" s="3130"/>
      <c r="C70" s="3130"/>
      <c r="D70" s="3130"/>
      <c r="E70" s="3130"/>
      <c r="F70" s="3130"/>
      <c r="G70" s="3130"/>
      <c r="H70" s="313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0" t="s">
        <v>2231</v>
      </c>
      <c r="B71" s="3121"/>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93345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467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26" t="s">
        <v>2259</v>
      </c>
      <c r="F76" s="3125"/>
      <c r="G76" s="3125"/>
      <c r="H76" s="312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467</v>
      </c>
      <c r="D78" s="226">
        <f>'数据-取费表'!B43</f>
        <v>5.000000000000001E-3</v>
      </c>
      <c r="E78" s="3117" t="s">
        <v>2264</v>
      </c>
      <c r="F78" s="3118"/>
      <c r="G78" s="3118"/>
      <c r="H78" s="311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92878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198.88222698072806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55563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9" t="s">
        <v>2268</v>
      </c>
      <c r="B83" s="3130"/>
      <c r="C83" s="3130"/>
      <c r="D83" s="3130"/>
      <c r="E83" s="3130"/>
      <c r="F83" s="3130"/>
      <c r="G83" s="3130"/>
      <c r="H83" s="313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0" t="s">
        <v>2231</v>
      </c>
      <c r="B84" s="3121"/>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93345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467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17" t="s">
        <v>2277</v>
      </c>
      <c r="F91" s="3118"/>
      <c r="G91" s="3118"/>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17" t="s">
        <v>2281</v>
      </c>
      <c r="F92" s="3118"/>
      <c r="G92" s="3118"/>
      <c r="H92" s="311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467</v>
      </c>
      <c r="D93" s="226">
        <f>'数据-取费表'!B43</f>
        <v>5.000000000000001E-3</v>
      </c>
      <c r="E93" s="3117" t="s">
        <v>2264</v>
      </c>
      <c r="F93" s="3118"/>
      <c r="G93" s="3118"/>
      <c r="H93" s="311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65" t="s">
        <v>2285</v>
      </c>
      <c r="F94" s="3166"/>
      <c r="G94" s="3166"/>
      <c r="H94" s="316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92878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198.88222698072806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55563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069" t="s">
        <v>2287</v>
      </c>
      <c r="B100" s="3070"/>
      <c r="C100" s="3070"/>
      <c r="D100" s="3101"/>
      <c r="E100" s="3070" t="s">
        <v>2288</v>
      </c>
      <c r="F100" s="3070"/>
      <c r="G100" s="3070"/>
      <c r="H100" s="3101"/>
      <c r="I100" s="138"/>
    </row>
    <row r="101" spans="1:35" ht="18.75" customHeight="1">
      <c r="A101" s="3109" t="s">
        <v>2289</v>
      </c>
      <c r="B101" s="3110"/>
      <c r="C101" s="736" t="str">
        <f>C4</f>
        <v>成本法</v>
      </c>
      <c r="D101" s="737" t="str">
        <f>D4</f>
        <v>假设开发法</v>
      </c>
      <c r="E101" s="3081" t="s">
        <v>2290</v>
      </c>
      <c r="F101" s="3082"/>
      <c r="G101" s="2516" t="s">
        <v>2291</v>
      </c>
      <c r="H101" s="1045">
        <f ca="1">H118</f>
        <v>98012</v>
      </c>
      <c r="I101" s="138"/>
    </row>
    <row r="102" spans="1:35" ht="18.75" customHeight="1">
      <c r="A102" s="3111" t="s">
        <v>2292</v>
      </c>
      <c r="B102" s="2516" t="s">
        <v>2291</v>
      </c>
      <c r="C102" s="736">
        <f ca="1">C19</f>
        <v>106469</v>
      </c>
      <c r="D102" s="737">
        <f ca="1">D19</f>
        <v>89554</v>
      </c>
      <c r="E102" s="3081"/>
      <c r="F102" s="3082"/>
      <c r="G102" s="2516" t="s">
        <v>2293</v>
      </c>
      <c r="H102" s="371">
        <f ca="1">I118</f>
        <v>8712</v>
      </c>
      <c r="I102" s="138"/>
    </row>
    <row r="103" spans="1:35" ht="42.75" customHeight="1">
      <c r="A103" s="3111"/>
      <c r="B103" s="2516" t="s">
        <v>2293</v>
      </c>
      <c r="C103" s="738">
        <f ca="1">C20</f>
        <v>9464</v>
      </c>
      <c r="D103" s="739">
        <f ca="1">D20</f>
        <v>7960</v>
      </c>
      <c r="E103" s="3075" t="s">
        <v>2294</v>
      </c>
      <c r="F103" s="3076"/>
      <c r="G103" s="2517" t="s">
        <v>2295</v>
      </c>
      <c r="H103" s="1045">
        <f>IF(D36="正常操作",H104+H105+H106,H105+H106)</f>
        <v>0</v>
      </c>
      <c r="I103" s="138"/>
    </row>
    <row r="104" spans="1:35" ht="18.75" customHeight="1">
      <c r="A104" s="3111" t="s">
        <v>2296</v>
      </c>
      <c r="B104" s="2518" t="s">
        <v>2291</v>
      </c>
      <c r="C104" s="740">
        <f ca="1">H118</f>
        <v>98012</v>
      </c>
      <c r="D104" s="741"/>
      <c r="E104" s="2264" t="s">
        <v>2297</v>
      </c>
      <c r="F104" s="2256"/>
      <c r="G104" s="2517" t="s">
        <v>2295</v>
      </c>
      <c r="H104" s="1046">
        <f>IF(D36="同一抵押权人同一抵押物续贷",C36&amp;"（未扣减，详见特别提示）",C36)</f>
        <v>0</v>
      </c>
      <c r="I104" s="138"/>
    </row>
    <row r="105" spans="1:35" ht="18.75" customHeight="1" thickBot="1">
      <c r="A105" s="3123"/>
      <c r="B105" s="2519" t="s">
        <v>2293</v>
      </c>
      <c r="C105" s="742">
        <f ca="1">I118</f>
        <v>8712</v>
      </c>
      <c r="D105" s="743"/>
      <c r="E105" s="2264" t="s">
        <v>2298</v>
      </c>
      <c r="F105" s="2256"/>
      <c r="G105" s="2517" t="s">
        <v>2295</v>
      </c>
      <c r="H105" s="1046">
        <f>C37</f>
        <v>0</v>
      </c>
      <c r="I105" s="138"/>
    </row>
    <row r="106" spans="1:35" ht="18.75" customHeight="1">
      <c r="A106" s="2414" t="s">
        <v>2299</v>
      </c>
      <c r="B106" s="2414"/>
      <c r="C106" s="2414"/>
      <c r="D106" s="2414"/>
      <c r="E106" s="2520" t="s">
        <v>2300</v>
      </c>
      <c r="F106" s="2256"/>
      <c r="G106" s="2517" t="s">
        <v>2295</v>
      </c>
      <c r="H106" s="1046">
        <f>C38</f>
        <v>0</v>
      </c>
      <c r="I106" s="138"/>
    </row>
    <row r="107" spans="1:35" ht="18.75" customHeight="1">
      <c r="A107" s="138"/>
      <c r="B107" s="138"/>
      <c r="C107" s="138"/>
      <c r="D107" s="138"/>
      <c r="E107" s="3112" t="str">
        <f>IF(项目基本情况!E8="已注销","——","3.房地产抵押价值")</f>
        <v>——</v>
      </c>
      <c r="F107" s="3082"/>
      <c r="G107" s="2516" t="s">
        <v>2291</v>
      </c>
      <c r="H107" s="1045" t="str">
        <f>IF(E107="——","——",H101-H103)</f>
        <v>——</v>
      </c>
      <c r="I107" s="138"/>
    </row>
    <row r="108" spans="1:35" ht="18.75" customHeight="1">
      <c r="A108" s="138"/>
      <c r="B108" s="138"/>
      <c r="C108" s="138"/>
      <c r="D108" s="138"/>
      <c r="E108" s="3112"/>
      <c r="F108" s="3082"/>
      <c r="G108" s="2516" t="s">
        <v>2293</v>
      </c>
      <c r="H108" s="371" t="e">
        <f>ROUND(H107*10000/'数据-汇总表'!E3,0)</f>
        <v>#VALUE!</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3.抵押担保权已注销时的房地产抵押价值</v>
      </c>
      <c r="F109" s="3082"/>
      <c r="G109" s="2516" t="s">
        <v>2291</v>
      </c>
      <c r="H109" s="348">
        <f ca="1">IF(E109="——","——",H101-H105-H106)</f>
        <v>98012</v>
      </c>
      <c r="I109" s="138"/>
    </row>
    <row r="110" spans="1:35" ht="18.75" customHeight="1">
      <c r="A110" s="138"/>
      <c r="B110" s="138"/>
      <c r="C110" s="138"/>
      <c r="D110" s="138"/>
      <c r="E110" s="3112"/>
      <c r="F110" s="3082"/>
      <c r="G110" s="2516" t="s">
        <v>2293</v>
      </c>
      <c r="H110" s="371">
        <f ca="1">IF(H109="——","——",ROUND(H109*10000/'数据-汇总表'!E3,0))</f>
        <v>8712</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16" t="s">
        <v>2291</v>
      </c>
      <c r="H111" s="1045" t="str">
        <f>IF(E111="——","——",N59)</f>
        <v>——</v>
      </c>
      <c r="I111" s="138"/>
    </row>
    <row r="112" spans="1:35" ht="18.75" customHeight="1" thickBot="1">
      <c r="A112" s="138"/>
      <c r="B112" s="138"/>
      <c r="C112" s="138"/>
      <c r="D112" s="138"/>
      <c r="E112" s="3115"/>
      <c r="F112" s="3116"/>
      <c r="G112" s="2521" t="s">
        <v>2293</v>
      </c>
      <c r="H112" s="790" t="str">
        <f>IF(E111="——","——",N61)</f>
        <v>——</v>
      </c>
      <c r="I112" s="138"/>
    </row>
    <row r="113" spans="1:11" ht="18.75" customHeight="1">
      <c r="A113" s="138"/>
      <c r="B113" s="138"/>
      <c r="C113" s="138"/>
      <c r="D113" s="138"/>
      <c r="E113" s="3124" t="s">
        <v>2299</v>
      </c>
      <c r="F113" s="3124"/>
      <c r="G113" s="3124"/>
      <c r="H113" s="3124"/>
      <c r="I113" s="138"/>
    </row>
    <row r="114" spans="1:11" ht="3.75" customHeight="1">
      <c r="A114" s="2414"/>
      <c r="B114" s="2414"/>
      <c r="C114" s="2414"/>
      <c r="D114" s="2414"/>
      <c r="E114" s="2492"/>
      <c r="F114" s="2492"/>
      <c r="G114" s="2492"/>
      <c r="H114" s="2492"/>
      <c r="I114" s="2414"/>
    </row>
    <row r="115" spans="1:11" ht="18.75" customHeight="1">
      <c r="A115" s="3137" t="s">
        <v>2301</v>
      </c>
      <c r="B115" s="3138"/>
      <c r="C115" s="3138"/>
      <c r="D115" s="3138"/>
      <c r="E115" s="3138"/>
      <c r="F115" s="3138"/>
      <c r="G115" s="3138"/>
      <c r="H115" s="3138"/>
      <c r="I115" s="3139"/>
    </row>
    <row r="116" spans="1:11" ht="27" customHeight="1">
      <c r="A116" s="3037" t="s">
        <v>2302</v>
      </c>
      <c r="B116" s="3091" t="s">
        <v>2303</v>
      </c>
      <c r="C116" s="3091" t="s">
        <v>2304</v>
      </c>
      <c r="D116" s="3097" t="s">
        <v>2305</v>
      </c>
      <c r="E116" s="3098"/>
      <c r="F116" s="3133" t="s">
        <v>2306</v>
      </c>
      <c r="G116" s="3133"/>
      <c r="H116" s="3037" t="s">
        <v>2307</v>
      </c>
      <c r="I116" s="3037"/>
    </row>
    <row r="117" spans="1:11" ht="18.75" customHeight="1">
      <c r="A117" s="3037"/>
      <c r="B117" s="3092"/>
      <c r="C117" s="3092"/>
      <c r="D117" s="1795" t="s">
        <v>2308</v>
      </c>
      <c r="E117" s="1795" t="s">
        <v>2309</v>
      </c>
      <c r="F117" s="1795" t="s">
        <v>2308</v>
      </c>
      <c r="G117" s="1795" t="s">
        <v>2310</v>
      </c>
      <c r="H117" s="1795" t="s">
        <v>2308</v>
      </c>
      <c r="I117" s="1795" t="s">
        <v>2310</v>
      </c>
    </row>
    <row r="118" spans="1:11" ht="24.75" customHeight="1">
      <c r="A118" s="2522"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118" s="1795">
        <f>M18</f>
        <v>112500.81000000001</v>
      </c>
      <c r="C118" s="1795">
        <f>M19</f>
        <v>24393.62</v>
      </c>
      <c r="D118" s="1795">
        <f ca="1">ROUND(IF(D32="总价",C34,E118*B118/10000),0)</f>
        <v>42635</v>
      </c>
      <c r="E118" s="1795">
        <f ca="1">ROUND(IF(C33="自定义",IF(D32="楼面单价",C34,D118*10000/B118),I118-G118),0)</f>
        <v>3790</v>
      </c>
      <c r="F118" s="1795">
        <f ca="1">ROUND(IF(D32="总价",C35,G118*B118/10000),0)</f>
        <v>55377</v>
      </c>
      <c r="G118" s="1795">
        <f ca="1">ROUND(IF(D32="楼面单价",C35,F118*10000/B118),0)</f>
        <v>4922</v>
      </c>
      <c r="H118" s="1795">
        <f ca="1">ROUND(IF(D32="总价",C32,I118*B118/10000),0)</f>
        <v>98012</v>
      </c>
      <c r="I118" s="1795">
        <f ca="1">ROUND(IF(D32="楼面单价",C32,H118*10000/B118),0)</f>
        <v>8712</v>
      </c>
    </row>
    <row r="119" spans="1:11" ht="18.75" customHeight="1">
      <c r="A119" s="3037" t="s">
        <v>2311</v>
      </c>
      <c r="B119" s="3037"/>
      <c r="C119" s="3037"/>
      <c r="D119" s="3093" t="str">
        <f ca="1">NUMBERSTRING(INT(D118*10000),2)&amp;"元整"</f>
        <v>肆亿贰仟陆佰叁拾伍万元整</v>
      </c>
      <c r="E119" s="3094"/>
      <c r="F119" s="3093" t="str">
        <f ca="1">NUMBERSTRING(INT(F118*10000),2)&amp;"元整"</f>
        <v>伍亿伍仟叁佰柒拾柒万元整</v>
      </c>
      <c r="G119" s="3094"/>
      <c r="H119" s="3093" t="str">
        <f ca="1">NUMBERSTRING(INT(H118*10000),2)&amp;"元整"</f>
        <v>玖亿捌仟零壹拾贰万元整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19" t="str">
        <f>IF(D120=0,"故，本次评估不存在"&amp;A120,"故，本次评估"&amp;A120&amp;"为人民币"&amp;D120&amp;"万元整。")</f>
        <v>故，本次评估不存在估价师知悉的法定优先受偿款</v>
      </c>
    </row>
    <row r="121" spans="1:11" ht="18.75" customHeight="1">
      <c r="A121" s="3134" t="s">
        <v>2311</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
      </c>
      <c r="B122" s="3099"/>
      <c r="C122" s="3099"/>
      <c r="D122" s="3088" t="str">
        <f>H107</f>
        <v>——</v>
      </c>
      <c r="E122" s="3089"/>
      <c r="F122" s="3089"/>
      <c r="G122" s="3089"/>
      <c r="H122" s="3089"/>
      <c r="I122" s="3090"/>
    </row>
    <row r="123" spans="1:11" ht="18.75" customHeight="1">
      <c r="A123" s="3037" t="s">
        <v>2311</v>
      </c>
      <c r="B123" s="3037"/>
      <c r="C123" s="3037"/>
      <c r="D123" s="3093" t="e">
        <f>NUMBERSTRING(INT(D122*10000),2)&amp;"元整"</f>
        <v>#VALUE!</v>
      </c>
      <c r="E123" s="3095"/>
      <c r="F123" s="3095"/>
      <c r="G123" s="3095"/>
      <c r="H123" s="3095"/>
      <c r="I123" s="3094"/>
    </row>
    <row r="124" spans="1:11" ht="18.75" customHeight="1">
      <c r="A124" s="3099" t="str">
        <f>IF(项目基本情况!B9="房地产市场价值","",MID(E109,3,LEN(E109)-2))</f>
        <v>抵押担保权已注销时的房地产抵押价值</v>
      </c>
      <c r="B124" s="3099"/>
      <c r="C124" s="3099"/>
      <c r="D124" s="3088">
        <f ca="1">H109</f>
        <v>98012</v>
      </c>
      <c r="E124" s="3089"/>
      <c r="F124" s="3089"/>
      <c r="G124" s="3089"/>
      <c r="H124" s="3089"/>
      <c r="I124" s="3090"/>
    </row>
    <row r="125" spans="1:11" ht="18.75" customHeight="1">
      <c r="A125" s="3037" t="s">
        <v>2311</v>
      </c>
      <c r="B125" s="3037"/>
      <c r="C125" s="3037"/>
      <c r="D125" s="3093" t="str">
        <f ca="1">NUMBERSTRING(INT(D124*10000),2)&amp;"元整"</f>
        <v>玖亿捌仟零壹拾贰万元整</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37" t="s">
        <v>2311</v>
      </c>
      <c r="B127" s="3037"/>
      <c r="C127" s="3037"/>
      <c r="D127" s="3093" t="e">
        <f>NUMBERSTRING(INT(D126*10000),2)&amp;"元整"</f>
        <v>#VALUE!</v>
      </c>
      <c r="E127" s="3095"/>
      <c r="F127" s="3095"/>
      <c r="G127" s="3095"/>
      <c r="H127" s="3095"/>
      <c r="I127" s="3094"/>
    </row>
    <row r="128" spans="1:11" ht="21.75" customHeight="1">
      <c r="A128" s="3096" t="s">
        <v>2312</v>
      </c>
      <c r="B128" s="3096"/>
      <c r="C128" s="3096"/>
      <c r="D128" s="3096"/>
      <c r="E128" s="3096"/>
      <c r="F128" s="3096"/>
      <c r="G128" s="3096"/>
      <c r="H128" s="3096"/>
      <c r="I128" s="309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2" t="str">
        <f>项目基本情况!B5</f>
        <v>北京创合丰威房地产开发有限公司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康正预评字2018-1-0866-P02DYGJ1号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7"/>
      <c r="C1" s="242"/>
      <c r="D1" s="242"/>
      <c r="E1" s="242"/>
      <c r="F1" s="242"/>
      <c r="G1" s="1379">
        <f>MATCH(B1,'数据-取费表'!A6:A16,0)+5</f>
        <v>9</v>
      </c>
    </row>
    <row r="2" spans="1:9" s="244" customFormat="1" ht="18" customHeight="1">
      <c r="A2" s="245" t="s">
        <v>2321</v>
      </c>
      <c r="B2" s="246">
        <f ca="1">IF(D2="——",C52,C52-E2)</f>
        <v>106469</v>
      </c>
      <c r="C2" s="243" t="s">
        <v>2322</v>
      </c>
      <c r="D2" s="2545" t="s">
        <v>70</v>
      </c>
      <c r="E2" s="1440"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9464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33436</v>
      </c>
      <c r="D5" s="255" t="s">
        <v>2328</v>
      </c>
      <c r="E5" s="256" t="s">
        <v>2329</v>
      </c>
      <c r="F5" s="256" t="s">
        <v>2330</v>
      </c>
      <c r="G5" s="257"/>
    </row>
    <row r="6" spans="1:9" s="258" customFormat="1" ht="13.5" customHeight="1">
      <c r="A6" s="949" t="s">
        <v>2331</v>
      </c>
      <c r="B6" s="259" t="s">
        <v>2332</v>
      </c>
      <c r="C6" s="260">
        <f ca="1">基准地价修正!B2</f>
        <v>30590</v>
      </c>
      <c r="D6" s="261"/>
      <c r="E6" s="262"/>
      <c r="F6" s="262"/>
      <c r="G6" s="263"/>
    </row>
    <row r="7" spans="1:9" s="258" customFormat="1" ht="13.5" customHeight="1">
      <c r="A7" s="949" t="s">
        <v>2333</v>
      </c>
      <c r="B7" s="259" t="s">
        <v>2334</v>
      </c>
      <c r="C7" s="264">
        <f ca="1">ROUND(C6*F7,0)</f>
        <v>933</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1913</v>
      </c>
      <c r="D8" s="266"/>
      <c r="E8" s="264"/>
      <c r="F8" s="265"/>
      <c r="G8" s="2548" t="s">
        <v>3116</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49" t="s">
        <v>3117</v>
      </c>
      <c r="H9" s="1390"/>
      <c r="I9" s="2550" t="s">
        <v>2338</v>
      </c>
    </row>
    <row r="10" spans="1:9" s="258" customFormat="1" ht="13.5" customHeight="1">
      <c r="A10" s="950" t="s">
        <v>801</v>
      </c>
      <c r="B10" s="268" t="s">
        <v>2339</v>
      </c>
      <c r="C10" s="269">
        <f ca="1">ROUND(D10*E10/10000,0)</f>
        <v>1913</v>
      </c>
      <c r="D10" s="1032">
        <f ca="1">IF(B1="",'数据-汇总表'!E6,IF(INDIRECT("'数据-取费表'!c"&amp;$G$1)="住宅",INDIRECT("'数据-取费表'!s"&amp;$G$1),INDIRECT("'数据-取费表'!k"&amp;$G$1)+INDIRECT("'数据-取费表'!s"&amp;$G$1)))</f>
        <v>112500.81000000001</v>
      </c>
      <c r="E10" s="269">
        <f>'数据-取费表'!B28</f>
        <v>170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112500.81000000001</v>
      </c>
      <c r="E19" s="255">
        <f>'数据-取费表'!B31</f>
        <v>200</v>
      </c>
      <c r="F19" s="275"/>
      <c r="G19" s="2548" t="s">
        <v>3118</v>
      </c>
    </row>
    <row r="20" spans="1:7" s="258" customFormat="1" ht="13.5" customHeight="1">
      <c r="A20" s="299" t="s">
        <v>2352</v>
      </c>
      <c r="B20" s="254" t="s">
        <v>2353</v>
      </c>
      <c r="C20" s="276">
        <f ca="1">ROUND((C5+C19)*F20,0)</f>
        <v>1003</v>
      </c>
      <c r="D20" s="276"/>
      <c r="E20" s="276"/>
      <c r="F20" s="277">
        <f>'数据-取费表'!B37</f>
        <v>0.03</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4">
        <f ca="1">ROUND(SUM(C23:C25),0)</f>
        <v>2785</v>
      </c>
      <c r="D22" s="279">
        <f ca="1">C26</f>
        <v>1.1999999999999999E-3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2745</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40</v>
      </c>
      <c r="D25" s="282"/>
      <c r="E25" s="285"/>
      <c r="F25" s="283"/>
      <c r="G25" s="286" t="s">
        <v>2369</v>
      </c>
    </row>
    <row r="26" spans="1:7" s="258" customFormat="1">
      <c r="A26" s="951" t="s">
        <v>795</v>
      </c>
      <c r="B26" s="259" t="s">
        <v>2370</v>
      </c>
      <c r="C26" s="282">
        <f ca="1">ROUND(IF('数据-取费表'!B22&lt;=1,F21*F22*'数据-取费表'!B23/2,F21*(POWER((1+F22),'数据-取费表'!B23/2)-1)),4)</f>
        <v>1.1999999999999999E-3</v>
      </c>
      <c r="D26" s="282"/>
      <c r="E26" s="285"/>
      <c r="F26" s="283"/>
      <c r="G26" s="287"/>
    </row>
    <row r="27" spans="1:7" s="258" customFormat="1" ht="24.75">
      <c r="A27" s="299" t="s">
        <v>2371</v>
      </c>
      <c r="B27" s="288" t="s">
        <v>2372</v>
      </c>
      <c r="C27" s="289">
        <f ca="1">C28</f>
        <v>4976</v>
      </c>
      <c r="D27" s="279">
        <f ca="1">C29</f>
        <v>4.3E-3</v>
      </c>
      <c r="E27" s="280" t="s">
        <v>2373</v>
      </c>
      <c r="F27" s="290">
        <f ca="1">IF(B1="",'数据-取费表'!Q16,INDIRECT("'数据-取费表'!q"&amp;$G$1))</f>
        <v>0.17</v>
      </c>
      <c r="G27" s="291" t="s">
        <v>2374</v>
      </c>
    </row>
    <row r="28" spans="1:7" s="258" customFormat="1" ht="13.5" customHeight="1">
      <c r="A28" s="951" t="s">
        <v>791</v>
      </c>
      <c r="B28" s="292" t="s">
        <v>2375</v>
      </c>
      <c r="C28" s="293">
        <f ca="1">ROUND((C5+C19+C20)*F27*'数据-取费表'!B21/'数据-取费表'!B20,0)</f>
        <v>4976</v>
      </c>
      <c r="D28" s="279"/>
      <c r="E28" s="280"/>
      <c r="F28" s="290"/>
      <c r="G28" s="291"/>
    </row>
    <row r="29" spans="1:7" s="258" customFormat="1" ht="13.5" customHeight="1">
      <c r="A29" s="951" t="s">
        <v>792</v>
      </c>
      <c r="B29" s="292" t="s">
        <v>2376</v>
      </c>
      <c r="C29" s="282">
        <f ca="1">ROUND(C21*F27*'数据-取费表'!B21/'数据-取费表'!B20,4)</f>
        <v>4.3E-3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46267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44012</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39425</v>
      </c>
      <c r="D34" s="261"/>
      <c r="E34" s="264"/>
      <c r="F34" s="301">
        <f ca="1">IF('数据-取费表'!B24=0,1,IF(B1="",'数据-取费表'!N16,INDIRECT("'数据-取费表'!n"&amp;$G$1)))</f>
        <v>0.9</v>
      </c>
      <c r="G34" s="263" t="s">
        <v>2385</v>
      </c>
    </row>
    <row r="35" spans="1:7" ht="13.5" customHeight="1">
      <c r="A35" s="951" t="s">
        <v>796</v>
      </c>
      <c r="B35" s="259" t="s">
        <v>2386</v>
      </c>
      <c r="C35" s="264">
        <f ca="1">ROUND(C34*F35,0)</f>
        <v>1971</v>
      </c>
      <c r="D35" s="264"/>
      <c r="E35" s="264"/>
      <c r="F35" s="303">
        <f>'数据-取费表'!B33</f>
        <v>0.05</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2025</v>
      </c>
      <c r="D37" s="261">
        <f ca="1">D19</f>
        <v>112500.81000000001</v>
      </c>
      <c r="E37" s="293">
        <f>'数据-取费表'!B35</f>
        <v>200</v>
      </c>
      <c r="F37" s="303"/>
      <c r="G37" s="305" t="s">
        <v>2391</v>
      </c>
    </row>
    <row r="38" spans="1:7" ht="13.5" customHeight="1">
      <c r="A38" s="951" t="s">
        <v>799</v>
      </c>
      <c r="B38" s="259" t="s">
        <v>2392</v>
      </c>
      <c r="C38" s="264">
        <f ca="1">ROUND(C34*F38,0)</f>
        <v>591</v>
      </c>
      <c r="D38" s="264"/>
      <c r="E38" s="264"/>
      <c r="F38" s="303">
        <f>'数据-取费表'!B36</f>
        <v>1.4999999999999999E-2</v>
      </c>
      <c r="G38" s="263" t="s">
        <v>2387</v>
      </c>
    </row>
    <row r="39" spans="1:7" s="258" customFormat="1" ht="13.5" customHeight="1">
      <c r="A39" s="299" t="s">
        <v>2393</v>
      </c>
      <c r="B39" s="254" t="s">
        <v>2394</v>
      </c>
      <c r="C39" s="276">
        <f ca="1">ROUND(C33*F20,0)</f>
        <v>1320</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1824</v>
      </c>
      <c r="D41" s="279">
        <f ca="1">C44</f>
        <v>1.1999999999999999E-3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1771</v>
      </c>
      <c r="D42" s="282"/>
      <c r="E42" s="282"/>
      <c r="F42" s="283"/>
      <c r="G42" s="3168" t="s">
        <v>2403</v>
      </c>
    </row>
    <row r="43" spans="1:7" ht="13.5" customHeight="1">
      <c r="A43" s="951" t="s">
        <v>792</v>
      </c>
      <c r="B43" s="259" t="s">
        <v>2404</v>
      </c>
      <c r="C43" s="282">
        <f ca="1">ROUND(IF('数据-取费表'!B22&lt;=1,C39*F22*'数据-取费表'!B21/2,C39*(POWER((1+F22),'数据-取费表'!B21/2)-1)),0)</f>
        <v>53</v>
      </c>
      <c r="D43" s="282"/>
      <c r="E43" s="282"/>
      <c r="F43" s="283"/>
      <c r="G43" s="3169"/>
    </row>
    <row r="44" spans="1:7" ht="13.5" customHeight="1">
      <c r="A44" s="951" t="s">
        <v>793</v>
      </c>
      <c r="B44" s="259" t="s">
        <v>2405</v>
      </c>
      <c r="C44" s="282">
        <f ca="1">ROUND(IF('数据-取费表'!B22&lt;=1,C40*F22*'数据-取费表'!B21/2,C40*(POWER((1+F22),'数据-取费表'!B21/2)-1)),4)</f>
        <v>1.1999999999999999E-3</v>
      </c>
      <c r="D44" s="282"/>
      <c r="E44" s="282"/>
      <c r="F44" s="283"/>
      <c r="G44" s="3170"/>
    </row>
    <row r="45" spans="1:7" s="258" customFormat="1" ht="13.5" customHeight="1">
      <c r="A45" s="299" t="s">
        <v>2406</v>
      </c>
      <c r="B45" s="288" t="s">
        <v>2372</v>
      </c>
      <c r="C45" s="289">
        <f ca="1">C46</f>
        <v>7706</v>
      </c>
      <c r="D45" s="279">
        <f ca="1">C47</f>
        <v>5.1000000000000004E-3</v>
      </c>
      <c r="E45" s="280" t="s">
        <v>2398</v>
      </c>
      <c r="F45" s="290"/>
      <c r="G45" s="291" t="s">
        <v>2407</v>
      </c>
    </row>
    <row r="46" spans="1:7" s="258" customFormat="1" ht="13.5" customHeight="1">
      <c r="A46" s="951" t="s">
        <v>791</v>
      </c>
      <c r="B46" s="292" t="s">
        <v>2408</v>
      </c>
      <c r="C46" s="293">
        <f ca="1">ROUND((C33+C39)*F27,0)</f>
        <v>7706</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60202</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60202</v>
      </c>
      <c r="D51" s="276"/>
      <c r="E51" s="276"/>
      <c r="F51" s="308"/>
      <c r="G51" s="278" t="s">
        <v>2419</v>
      </c>
    </row>
    <row r="52" spans="1:7" s="252" customFormat="1" ht="16.5" thickBot="1">
      <c r="A52" s="309" t="s">
        <v>2420</v>
      </c>
      <c r="B52" s="310"/>
      <c r="C52" s="311">
        <f ca="1">C31+C51</f>
        <v>106469</v>
      </c>
      <c r="D52" s="310"/>
      <c r="E52" s="310"/>
      <c r="F52" s="310"/>
      <c r="G52" s="312"/>
    </row>
    <row r="55" spans="1:7" ht="15">
      <c r="B55" s="314" t="s">
        <v>2421</v>
      </c>
      <c r="C55" s="315"/>
    </row>
    <row r="56" spans="1:7">
      <c r="B56" s="317" t="s">
        <v>1509</v>
      </c>
      <c r="C56" s="319">
        <f ca="1">1-C57</f>
        <v>0.43500000000000005</v>
      </c>
    </row>
    <row r="57" spans="1:7">
      <c r="B57" s="317" t="s">
        <v>1510</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7"/>
      <c r="C1" s="2551" t="s">
        <v>2422</v>
      </c>
      <c r="D1" s="242"/>
      <c r="E1" s="242"/>
      <c r="F1" s="242"/>
      <c r="G1" s="1379">
        <f>MATCH(B1,'数据-取费表'!A6:A16,0)+5</f>
        <v>9</v>
      </c>
      <c r="H1" s="1282" t="str">
        <f>IF(ISERROR(FIND("住宅",B1)),"非住宅","住宅")</f>
        <v>非住宅</v>
      </c>
    </row>
    <row r="2" spans="1:8" s="244" customFormat="1" ht="18" customHeight="1">
      <c r="A2" s="245" t="s">
        <v>2321</v>
      </c>
      <c r="B2" s="246">
        <f ca="1">ROUND(IF(D2="——",C52/10000,C52/10000-E2),0)</f>
        <v>73265</v>
      </c>
      <c r="C2" s="243" t="s">
        <v>2322</v>
      </c>
      <c r="D2" s="2545" t="s">
        <v>70</v>
      </c>
      <c r="E2" s="1440"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6512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19125138</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19125138</v>
      </c>
      <c r="D8" s="266"/>
      <c r="E8" s="264"/>
      <c r="F8" s="265"/>
      <c r="G8" s="2548"/>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19125138</v>
      </c>
      <c r="D10" s="1032">
        <f ca="1">IF(B1="",'数据-汇总表'!E6,IF(INDIRECT("'数据-取费表'!c"&amp;$G$1)="住宅",INDIRECT("'数据-取费表'!s"&amp;$G$1),INDIRECT("'数据-取费表'!k"&amp;$G$1)+INDIRECT("'数据-取费表'!s"&amp;$G$1)))</f>
        <v>112500.81000000001</v>
      </c>
      <c r="E10" s="269">
        <f>'数据-取费表'!B28</f>
        <v>170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22500162</v>
      </c>
      <c r="D19" s="1036">
        <f ca="1">D9+D10</f>
        <v>112500.81000000001</v>
      </c>
      <c r="E19" s="255">
        <f>'数据-取费表'!B31</f>
        <v>200</v>
      </c>
      <c r="F19" s="275"/>
      <c r="G19" s="2548"/>
    </row>
    <row r="20" spans="1:7" s="258" customFormat="1" ht="13.5" customHeight="1">
      <c r="A20" s="299" t="s">
        <v>2433</v>
      </c>
      <c r="B20" s="254" t="s">
        <v>2434</v>
      </c>
      <c r="C20" s="276">
        <f ca="1">ROUND((C5+C19)*F20,0)</f>
        <v>1248759</v>
      </c>
      <c r="D20" s="276"/>
      <c r="E20" s="276"/>
      <c r="F20" s="277">
        <f>'数据-取费表'!B37</f>
        <v>0.03</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80">
        <f ca="1">ROUND(SUM(C23:C25),0)</f>
        <v>4107636</v>
      </c>
      <c r="D22" s="279">
        <f ca="1">C26</f>
        <v>1.4E-3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1860039</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2188281</v>
      </c>
      <c r="D24" s="282"/>
      <c r="E24" s="282"/>
      <c r="F24" s="283"/>
      <c r="G24" s="284" t="s">
        <v>2445</v>
      </c>
    </row>
    <row r="25" spans="1:7" s="258" customFormat="1" ht="24">
      <c r="A25" s="951" t="s">
        <v>2335</v>
      </c>
      <c r="B25" s="259" t="s">
        <v>2446</v>
      </c>
      <c r="C25" s="1381">
        <f ca="1">ROUND(IF('数据-取费表'!B22&lt;=1,C20*F22*'数据-取费表'!B22/2,C20*(POWER((1+F22),'数据-取费表'!B22/2)-1)),0)</f>
        <v>59316</v>
      </c>
      <c r="D25" s="282"/>
      <c r="E25" s="285"/>
      <c r="F25" s="283"/>
      <c r="G25" s="286" t="s">
        <v>2447</v>
      </c>
    </row>
    <row r="26" spans="1:7" s="258" customFormat="1">
      <c r="A26" s="951"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7288590</v>
      </c>
      <c r="D27" s="279">
        <f ca="1">C29</f>
        <v>5.1000000000000004E-3</v>
      </c>
      <c r="E27" s="280" t="s">
        <v>2373</v>
      </c>
      <c r="F27" s="290">
        <f ca="1">IF(B1="",'数据-取费表'!Q16,INDIRECT("'数据-取费表'!q"&amp;$G$1))</f>
        <v>0.17</v>
      </c>
      <c r="G27" s="291" t="s">
        <v>2374</v>
      </c>
    </row>
    <row r="28" spans="1:7" s="258" customFormat="1" ht="13.5" customHeight="1">
      <c r="A28" s="951" t="s">
        <v>791</v>
      </c>
      <c r="B28" s="292" t="s">
        <v>2375</v>
      </c>
      <c r="C28" s="293">
        <f ca="1">ROUND((C5+C19+C20)*F27,0)</f>
        <v>7288590</v>
      </c>
      <c r="D28" s="279"/>
      <c r="E28" s="280"/>
      <c r="F28" s="290"/>
      <c r="G28" s="291"/>
    </row>
    <row r="29" spans="1:7" s="258" customFormat="1" ht="13.5" customHeight="1">
      <c r="A29" s="951" t="s">
        <v>792</v>
      </c>
      <c r="B29" s="292" t="s">
        <v>2376</v>
      </c>
      <c r="C29" s="282">
        <f ca="1">ROUND(C21*F27,4)</f>
        <v>5.1000000000000004E-3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59565673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489020079</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438046870</v>
      </c>
      <c r="D34" s="261"/>
      <c r="E34" s="264"/>
      <c r="F34" s="301"/>
      <c r="G34" s="263"/>
    </row>
    <row r="35" spans="1:7" ht="13.5" customHeight="1">
      <c r="A35" s="951" t="s">
        <v>796</v>
      </c>
      <c r="B35" s="259" t="s">
        <v>2386</v>
      </c>
      <c r="C35" s="264">
        <f ca="1">ROUND(C34*F35,0)</f>
        <v>21902344</v>
      </c>
      <c r="D35" s="264"/>
      <c r="E35" s="264"/>
      <c r="F35" s="303">
        <f>'数据-取费表'!B33</f>
        <v>0.05</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22500162</v>
      </c>
      <c r="D37" s="261">
        <f ca="1">D19</f>
        <v>112500.81000000001</v>
      </c>
      <c r="E37" s="293">
        <f>'数据-取费表'!B35</f>
        <v>200</v>
      </c>
      <c r="F37" s="303"/>
      <c r="G37" s="305"/>
    </row>
    <row r="38" spans="1:7" ht="13.5" customHeight="1">
      <c r="A38" s="951" t="s">
        <v>799</v>
      </c>
      <c r="B38" s="259" t="s">
        <v>2392</v>
      </c>
      <c r="C38" s="264">
        <f ca="1">ROUND(C34*F38,0)</f>
        <v>6570703</v>
      </c>
      <c r="D38" s="264"/>
      <c r="E38" s="264"/>
      <c r="F38" s="303">
        <f>'数据-取费表'!B36</f>
        <v>1.4999999999999999E-2</v>
      </c>
      <c r="G38" s="263" t="s">
        <v>2387</v>
      </c>
    </row>
    <row r="39" spans="1:7" s="258" customFormat="1" ht="13.5" customHeight="1">
      <c r="A39" s="299" t="s">
        <v>2393</v>
      </c>
      <c r="B39" s="254" t="s">
        <v>2394</v>
      </c>
      <c r="C39" s="276">
        <f ca="1">ROUND(C33*F20,0)</f>
        <v>14670602</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23925308</v>
      </c>
      <c r="D41" s="279">
        <f ca="1">C44</f>
        <v>1.4E-3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23228454</v>
      </c>
      <c r="D42" s="282"/>
      <c r="E42" s="282"/>
      <c r="F42" s="283"/>
      <c r="G42" s="3168" t="s">
        <v>2450</v>
      </c>
    </row>
    <row r="43" spans="1:7" ht="13.5" customHeight="1">
      <c r="A43" s="951" t="s">
        <v>792</v>
      </c>
      <c r="B43" s="259" t="s">
        <v>2404</v>
      </c>
      <c r="C43" s="282">
        <f ca="1">ROUND(IF('数据-取费表'!B22&lt;=1,C39*F22*'数据-取费表'!B20/2,C39*(POWER((1+F22),'数据-取费表'!B20/2)-1)),0)</f>
        <v>696854</v>
      </c>
      <c r="D43" s="282"/>
      <c r="E43" s="282"/>
      <c r="F43" s="283"/>
      <c r="G43" s="3169"/>
    </row>
    <row r="44" spans="1:7" ht="13.5" customHeight="1">
      <c r="A44" s="951" t="s">
        <v>793</v>
      </c>
      <c r="B44" s="259" t="s">
        <v>2405</v>
      </c>
      <c r="C44" s="282">
        <f ca="1">ROUND(IF('数据-取费表'!B22&lt;=1,C40*F22*'数据-取费表'!B20/2,C40*(POWER((1+F22),'数据-取费表'!B20/2)-1)),4)</f>
        <v>1.4E-3</v>
      </c>
      <c r="D44" s="282"/>
      <c r="E44" s="282"/>
      <c r="F44" s="283"/>
      <c r="G44" s="3170"/>
    </row>
    <row r="45" spans="1:7" s="258" customFormat="1" ht="13.5" customHeight="1">
      <c r="A45" s="299" t="s">
        <v>2406</v>
      </c>
      <c r="B45" s="288" t="s">
        <v>2372</v>
      </c>
      <c r="C45" s="289">
        <f ca="1">C46</f>
        <v>85627416</v>
      </c>
      <c r="D45" s="279">
        <f ca="1">C47</f>
        <v>5.1000000000000004E-3</v>
      </c>
      <c r="E45" s="280" t="s">
        <v>2398</v>
      </c>
      <c r="F45" s="290"/>
      <c r="G45" s="291" t="s">
        <v>2407</v>
      </c>
    </row>
    <row r="46" spans="1:7" s="258" customFormat="1" ht="13.5" customHeight="1">
      <c r="A46" s="951" t="s">
        <v>791</v>
      </c>
      <c r="B46" s="292" t="s">
        <v>2408</v>
      </c>
      <c r="C46" s="293">
        <f ca="1">ROUND((C33+C39)*F27,0)</f>
        <v>85627416</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673080238</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673080238</v>
      </c>
      <c r="D51" s="276"/>
      <c r="E51" s="276"/>
      <c r="F51" s="308"/>
      <c r="G51" s="278" t="s">
        <v>2419</v>
      </c>
    </row>
    <row r="52" spans="1:7" s="252" customFormat="1" ht="16.5" thickBot="1">
      <c r="A52" s="309" t="s">
        <v>2420</v>
      </c>
      <c r="B52" s="310"/>
      <c r="C52" s="311">
        <f ca="1">C31+C51</f>
        <v>732645911</v>
      </c>
      <c r="D52" s="310"/>
      <c r="E52" s="310"/>
      <c r="F52" s="310"/>
      <c r="G52" s="312"/>
    </row>
    <row r="55" spans="1:7" ht="15">
      <c r="B55" s="314" t="s">
        <v>2421</v>
      </c>
      <c r="C55" s="315"/>
    </row>
    <row r="56" spans="1:7">
      <c r="B56" s="317" t="s">
        <v>1509</v>
      </c>
      <c r="C56" s="319">
        <f ca="1">1-C57</f>
        <v>8.0999999999999961E-2</v>
      </c>
    </row>
    <row r="57" spans="1:7">
      <c r="B57" s="317" t="s">
        <v>1510</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9</v>
      </c>
    </row>
    <row r="2" spans="1:33" ht="18" customHeight="1">
      <c r="A2" s="245" t="s">
        <v>2321</v>
      </c>
      <c r="B2" s="248">
        <f ca="1">C32</f>
        <v>89554</v>
      </c>
      <c r="C2" s="320" t="s">
        <v>2454</v>
      </c>
      <c r="D2" s="320"/>
      <c r="E2" s="320"/>
      <c r="F2" s="320"/>
      <c r="G2" s="320"/>
      <c r="H2" s="320"/>
      <c r="I2" s="320"/>
      <c r="J2" s="320"/>
      <c r="K2" s="320"/>
    </row>
    <row r="3" spans="1:33" ht="18" customHeight="1" thickBot="1">
      <c r="A3" s="247" t="s">
        <v>2323</v>
      </c>
      <c r="B3" s="248">
        <f ca="1">ROUND(B2*10000/IF(C1="",'数据-汇总表'!E3,INDIRECT("'数据-取费表'!K"&amp;$K$1)),0)</f>
        <v>7960</v>
      </c>
      <c r="C3" s="320" t="s">
        <v>2455</v>
      </c>
      <c r="D3" s="320"/>
      <c r="E3" s="320"/>
      <c r="F3" s="320"/>
      <c r="G3" s="320"/>
      <c r="H3" s="320"/>
      <c r="I3" s="320"/>
      <c r="J3" s="320"/>
      <c r="K3" s="320"/>
    </row>
    <row r="4" spans="1:33" s="956" customFormat="1" ht="16.5" customHeight="1">
      <c r="A4" s="953" t="s">
        <v>2456</v>
      </c>
      <c r="B4" s="954"/>
      <c r="C4" s="996">
        <f ca="1">SUM(C8:K8)</f>
        <v>107739</v>
      </c>
      <c r="D4" s="954"/>
      <c r="E4" s="954"/>
      <c r="F4" s="954"/>
      <c r="G4" s="954"/>
      <c r="H4" s="954"/>
      <c r="I4" s="954"/>
      <c r="J4" s="954"/>
      <c r="K4" s="955"/>
    </row>
    <row r="5" spans="1:33" s="960" customFormat="1" ht="15">
      <c r="A5" s="957" t="s">
        <v>2457</v>
      </c>
      <c r="B5" s="958" t="s">
        <v>2458</v>
      </c>
      <c r="C5" s="2552" t="s">
        <v>3072</v>
      </c>
      <c r="D5" s="2552" t="s">
        <v>3073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f ca="1">'收益法-地上研发'!B3</f>
        <v>11880</v>
      </c>
      <c r="D6" s="962">
        <f ca="1">'收益法-地下研发'!B3</f>
        <v>6390</v>
      </c>
      <c r="E6" s="962">
        <f ca="1">'收益法-地下车库'!B3</f>
        <v>3029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82874.319999999978</v>
      </c>
      <c r="D7" s="321">
        <f>SUMIF('数据-汇总表'!$C19:$C33,假设开发法!D5,'数据-汇总表'!$E19:$E33)</f>
        <v>5713.75</v>
      </c>
      <c r="E7" s="321">
        <f>SUMIF('数据-汇总表'!$C19:$C33,假设开发法!E5,'数据-汇总表'!$E19:$E33)</f>
        <v>18596.150000000001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f ca="1">'收益法-地上研发'!B2</f>
        <v>98455</v>
      </c>
      <c r="D8" s="997">
        <f ca="1">'收益法-地下研发'!B2</f>
        <v>3651</v>
      </c>
      <c r="E8" s="997">
        <f ca="1">'收益法-地下车库'!B2</f>
        <v>5633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4381</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2472</v>
      </c>
      <c r="C12" s="24">
        <f ca="1">ROUND(C11*F12,0)</f>
        <v>219</v>
      </c>
      <c r="D12" s="973"/>
      <c r="E12" s="375"/>
      <c r="F12" s="976">
        <f>'数据-取费表'!B33</f>
        <v>0.05</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225</v>
      </c>
      <c r="D14" s="1033">
        <f ca="1">IF(C1="",'数据-汇总表'!E3,INDIRECT("'数据-取费表'!K"&amp;$K$1)+INDIRECT("'数据-取费表'!S"&amp;$K$1))</f>
        <v>112500.81000000001</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66</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4891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112500.81000000001</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4" t="s">
        <v>3115</v>
      </c>
      <c r="H18" s="1577"/>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2486</v>
      </c>
      <c r="C20" s="24">
        <f ca="1">ROUND(D20*E20/10000,0)</f>
        <v>1913</v>
      </c>
      <c r="D20" s="1033">
        <f ca="1">IF(C1="",'数据-汇总表'!E6,IF(INDIRECT("'数据-取费表'!c"&amp;$K$1)="住宅",INDIRECT("'数据-取费表'!s"&amp;$K$1),INDIRECT("'数据-取费表'!k"&amp;$K$1)+INDIRECT("'数据-取费表'!s"&amp;$K$1)))</f>
        <v>112500.81000000001</v>
      </c>
      <c r="E20" s="24">
        <f>'数据-取费表'!B28</f>
        <v>170</v>
      </c>
      <c r="F20" s="976"/>
      <c r="G20" s="15"/>
      <c r="H20" s="981"/>
      <c r="I20" s="981"/>
      <c r="J20" s="981"/>
      <c r="K20" s="982"/>
    </row>
    <row r="21" spans="1:33" s="975" customFormat="1" ht="13.5" customHeight="1">
      <c r="A21" s="961" t="s">
        <v>802</v>
      </c>
      <c r="B21" s="985" t="s">
        <v>2487</v>
      </c>
      <c r="C21" s="986">
        <f ca="1">C16+C17+C18</f>
        <v>4891</v>
      </c>
      <c r="D21" s="987"/>
      <c r="E21" s="325"/>
      <c r="F21" s="325"/>
      <c r="G21" s="140" t="s">
        <v>2488</v>
      </c>
      <c r="H21" s="979"/>
      <c r="I21" s="979"/>
      <c r="J21" s="979"/>
      <c r="K21" s="980"/>
    </row>
    <row r="22" spans="1:33" s="975" customFormat="1" ht="13.5" customHeight="1">
      <c r="A22" s="961" t="s">
        <v>2460</v>
      </c>
      <c r="B22" s="985" t="s">
        <v>2489</v>
      </c>
      <c r="C22" s="986">
        <f ca="1">ROUND(C21*F22,0)</f>
        <v>147</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323</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'数据-取费表'!B48+'数据-取费表'!B49</f>
        <v>3.0499999999999999E-2</v>
      </c>
      <c r="G24" s="8" t="s">
        <v>2495</v>
      </c>
      <c r="H24" s="990"/>
      <c r="I24" s="990"/>
      <c r="J24" s="990"/>
      <c r="K24" s="991"/>
    </row>
    <row r="25" spans="1:33" s="975" customFormat="1" ht="13.5" customHeight="1">
      <c r="A25" s="961" t="s">
        <v>2496</v>
      </c>
      <c r="B25" s="987" t="s">
        <v>2497</v>
      </c>
      <c r="C25" s="1356">
        <f ca="1">C27</f>
        <v>37</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1.44E-2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37</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911</v>
      </c>
      <c r="D28" s="324">
        <f ca="1">C29</f>
        <v>2.6200000000000001E-2</v>
      </c>
      <c r="E28" s="326" t="s">
        <v>15</v>
      </c>
      <c r="F28" s="332">
        <f ca="1">IF(C1="",'数据-取费表'!Q16,INDIRECT("'数据-取费表'!q"&amp;$K$1))</f>
        <v>0.17</v>
      </c>
      <c r="G28" s="989"/>
      <c r="H28" s="990"/>
      <c r="I28" s="990"/>
      <c r="J28" s="990"/>
      <c r="K28" s="991"/>
    </row>
    <row r="29" spans="1:33" s="335" customFormat="1" ht="13.5" customHeight="1">
      <c r="A29" s="971" t="s">
        <v>803</v>
      </c>
      <c r="B29" s="994" t="s">
        <v>2502</v>
      </c>
      <c r="C29" s="328">
        <f ca="1">ROUND((1+C24)*F28*'数据-取费表'!B24/'数据-取费表'!B20,4)</f>
        <v>2.6200000000000001E-2</v>
      </c>
      <c r="D29" s="328"/>
      <c r="E29" s="329"/>
      <c r="F29" s="334"/>
      <c r="G29" s="140" t="s">
        <v>2503</v>
      </c>
      <c r="H29" s="979"/>
      <c r="I29" s="979"/>
      <c r="J29" s="979"/>
      <c r="K29" s="980"/>
    </row>
    <row r="30" spans="1:33" s="335" customFormat="1" ht="13.5" customHeight="1">
      <c r="A30" s="971" t="s">
        <v>804</v>
      </c>
      <c r="B30" s="994" t="s">
        <v>2504</v>
      </c>
      <c r="C30" s="336">
        <f ca="1">ROUND((C21+C22+C23)*F28,0)</f>
        <v>911</v>
      </c>
      <c r="D30" s="328"/>
      <c r="E30" s="329"/>
      <c r="F30" s="334"/>
      <c r="G30" s="140"/>
      <c r="H30" s="979"/>
      <c r="I30" s="979"/>
      <c r="J30" s="979"/>
      <c r="K30" s="980"/>
    </row>
    <row r="31" spans="1:33" s="975" customFormat="1" ht="13.5" customHeight="1" thickBot="1">
      <c r="A31" s="2558" t="s">
        <v>2505</v>
      </c>
      <c r="B31" s="1005" t="s">
        <v>2506</v>
      </c>
      <c r="C31" s="1006">
        <f ca="1">ROUND(C4*F31/(1+'数据-取费表'!C42),0)</f>
        <v>5643</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89554</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K55" sqref="K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3072</v>
      </c>
      <c r="D1" s="1820" t="s">
        <v>3147</v>
      </c>
      <c r="E1" s="1821" t="s">
        <v>1383</v>
      </c>
      <c r="F1" s="1283">
        <f ca="1">J53</f>
        <v>37.78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98455</v>
      </c>
      <c r="C2" s="1845" t="s">
        <v>1512</v>
      </c>
      <c r="D2" s="1845"/>
      <c r="E2" s="1846"/>
      <c r="F2" s="1847"/>
      <c r="G2" s="1848"/>
      <c r="H2" s="1840"/>
      <c r="I2" s="1840"/>
      <c r="J2" s="1840"/>
      <c r="K2" s="1841"/>
      <c r="L2" s="1840"/>
      <c r="M2" s="1840"/>
    </row>
    <row r="3" spans="1:37" ht="18" customHeight="1" thickBot="1">
      <c r="A3" s="1849" t="s">
        <v>1513</v>
      </c>
      <c r="B3" s="1850">
        <f ca="1">IF(ISERROR(B2*10000/F43),0,ROUND(B2*10000/F43,0))</f>
        <v>11880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6179</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6171</v>
      </c>
      <c r="D6" s="164" t="s">
        <v>3023</v>
      </c>
      <c r="E6" s="347" t="s">
        <v>1401</v>
      </c>
      <c r="F6" s="348">
        <f ca="1">INDIRECT("'数据-取费表'!u"&amp;$G$1)</f>
        <v>2.4</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82874.319999999978</v>
      </c>
      <c r="G7" s="1851"/>
      <c r="H7" s="349"/>
      <c r="I7" s="3172"/>
      <c r="J7" s="351"/>
      <c r="K7" s="352"/>
      <c r="L7" s="347" t="s">
        <v>1402</v>
      </c>
      <c r="M7" s="348">
        <f ca="1">F7</f>
        <v>82874.319999999978</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8</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54458</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34589</v>
      </c>
      <c r="D14" s="2944" t="s">
        <v>1414</v>
      </c>
      <c r="E14" s="2943"/>
      <c r="F14" s="364"/>
      <c r="G14" s="1851"/>
      <c r="H14" s="1201" t="s">
        <v>1032</v>
      </c>
      <c r="I14" s="347" t="s">
        <v>1415</v>
      </c>
      <c r="J14" s="24">
        <f ca="1">C29</f>
        <v>54458</v>
      </c>
      <c r="K14" s="2940"/>
      <c r="L14" s="979"/>
      <c r="M14" s="980"/>
    </row>
    <row r="15" spans="1:37" s="1858" customFormat="1" ht="18" customHeight="1" thickBot="1">
      <c r="A15" s="1201" t="s">
        <v>1033</v>
      </c>
      <c r="B15" s="347" t="s">
        <v>1416</v>
      </c>
      <c r="C15" s="24">
        <f ca="1">ROUND(C14*F15,0)</f>
        <v>1729</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1005</v>
      </c>
      <c r="K16" s="1337" t="s">
        <v>1421</v>
      </c>
      <c r="L16" s="2946"/>
      <c r="M16" s="1294"/>
    </row>
    <row r="17" spans="1:37" s="1858" customFormat="1" ht="18" customHeight="1">
      <c r="A17" s="1201" t="s">
        <v>1386</v>
      </c>
      <c r="B17" s="347" t="s">
        <v>1422</v>
      </c>
      <c r="C17" s="24">
        <f ca="1">ROUND(F17*(F43+INDIRECT("'数据-取费表'!S"&amp;$G$1))/10000,0)</f>
        <v>1740</v>
      </c>
      <c r="D17" s="347" t="s">
        <v>1423</v>
      </c>
      <c r="E17" s="347" t="s">
        <v>1424</v>
      </c>
      <c r="F17" s="26">
        <f>'数据-取费表'!B35</f>
        <v>200</v>
      </c>
      <c r="G17" s="1854"/>
      <c r="H17" s="1201" t="s">
        <v>1032</v>
      </c>
      <c r="I17" s="347" t="s">
        <v>1425</v>
      </c>
      <c r="J17" s="24">
        <f ca="1">ROUND(IF(项目基本情况!B11="自然人",J5*M17,J18+J19+J20),1)</f>
        <v>460.3</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519</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38577</v>
      </c>
      <c r="D19" s="140" t="s">
        <v>1432</v>
      </c>
      <c r="E19" s="2939"/>
      <c r="F19" s="26"/>
      <c r="G19" s="1851"/>
      <c r="H19" s="1201" t="s">
        <v>1033</v>
      </c>
      <c r="I19" s="347" t="s">
        <v>1433</v>
      </c>
      <c r="J19" s="24">
        <f ca="1">IF(K19="按租金收入计税",ROUND(J5*M19,2),ROUND(C29*M19*0.7,2))</f>
        <v>457.45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1157</v>
      </c>
      <c r="D20" s="369" t="s">
        <v>1436</v>
      </c>
      <c r="E20" s="347" t="s">
        <v>1418</v>
      </c>
      <c r="F20" s="367">
        <f>'数据-取费表'!B37</f>
        <v>0.03</v>
      </c>
      <c r="G20" s="1854"/>
      <c r="H20" s="1201" t="s">
        <v>1385</v>
      </c>
      <c r="I20" s="164" t="s">
        <v>1437</v>
      </c>
      <c r="J20" s="25">
        <f ca="1">ROUND(M20*M21/10000,2)</f>
        <v>2.83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18861.03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544.6</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1887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-1005</v>
      </c>
      <c r="K25" s="1345" t="s">
        <v>1460</v>
      </c>
      <c r="L25" s="1346"/>
      <c r="M25" s="1347"/>
    </row>
    <row r="26" spans="1:37">
      <c r="A26" s="1201" t="s">
        <v>1031</v>
      </c>
      <c r="B26" s="347" t="s">
        <v>1461</v>
      </c>
      <c r="C26" s="24">
        <f ca="1">ROUND((C19+C20)*F26,0)</f>
        <v>7947</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54458</v>
      </c>
      <c r="D29" s="1342"/>
      <c r="E29" s="1340"/>
      <c r="F29" s="1343"/>
      <c r="G29" s="1854"/>
      <c r="H29" s="380" t="s">
        <v>1030</v>
      </c>
      <c r="I29" s="381" t="s">
        <v>1475</v>
      </c>
      <c r="J29" s="382">
        <f ca="1">ROUND(J26/(1+F40)^F41,0)</f>
        <v>0</v>
      </c>
      <c r="K29" s="383" t="s">
        <v>1476</v>
      </c>
      <c r="L29" s="384"/>
      <c r="M29" s="385">
        <f ca="1">INDIRECT("'数据-取费表'!k"&amp;$G$1)</f>
        <v>82874.319999999978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1729</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1068</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323.66000000000003</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741.48</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2.83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18861.03</v>
      </c>
      <c r="G35" s="1851"/>
      <c r="H35" s="745"/>
      <c r="I35" s="1860"/>
      <c r="J35" s="1861"/>
      <c r="K35" s="1862"/>
      <c r="L35" s="1859"/>
      <c r="M35" s="1859"/>
    </row>
    <row r="36" spans="1:18" ht="18" customHeight="1">
      <c r="A36" s="1352" t="s">
        <v>1036</v>
      </c>
      <c r="B36" s="347" t="s">
        <v>1445</v>
      </c>
      <c r="C36" s="24">
        <f ca="1">ROUND(C29*F36,1)</f>
        <v>544.6</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54.5</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61.8</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4450</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98455</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11880</v>
      </c>
      <c r="D43" s="383" t="s">
        <v>1484</v>
      </c>
      <c r="E43" s="384" t="s">
        <v>1485</v>
      </c>
      <c r="F43" s="385">
        <f ca="1">INDIRECT("'数据-取费表'!k"&amp;$G$1)</f>
        <v>82874.319999999978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-180115</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98455</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54458</v>
      </c>
      <c r="R49" s="1886" t="s">
        <v>1525</v>
      </c>
    </row>
    <row r="50" spans="1:18" s="1842" customFormat="1" ht="13.5" thickBot="1">
      <c r="A50" s="1195"/>
      <c r="B50" s="1198"/>
      <c r="C50" s="1368"/>
      <c r="D50" s="1172"/>
      <c r="E50" s="1277" t="s">
        <v>1402</v>
      </c>
      <c r="F50" s="1278">
        <f ca="1">F7</f>
        <v>82874.319999999978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-3020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98455</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54458</v>
      </c>
      <c r="D56" s="1914"/>
      <c r="E56" s="1915"/>
      <c r="F56" s="1907"/>
      <c r="I56" s="1916" t="s">
        <v>1550</v>
      </c>
      <c r="J56" s="1917" t="s">
        <v>3052</v>
      </c>
      <c r="K56" s="1887" t="s">
        <v>1551</v>
      </c>
      <c r="L56" s="1890" t="str">
        <f ca="1">IF(L48&lt;J51,"——",L48-J53)</f>
        <v>——</v>
      </c>
      <c r="O56" s="1884" t="s">
        <v>1037</v>
      </c>
      <c r="P56" s="1885" t="s">
        <v>1524</v>
      </c>
      <c r="Q56" s="1886">
        <f ca="1">C40+J29</f>
        <v>98455</v>
      </c>
      <c r="R56" s="1886" t="s">
        <v>1525</v>
      </c>
    </row>
    <row r="57" spans="1:18" s="1842" customFormat="1" ht="24.75" thickBot="1">
      <c r="A57" s="1918"/>
      <c r="B57" s="1169" t="s">
        <v>1474</v>
      </c>
      <c r="C57" s="282">
        <f ca="1">C29</f>
        <v>54458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5176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4577.3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4574.47</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2.83</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98455</v>
      </c>
      <c r="R62" s="1886" t="s">
        <v>1044</v>
      </c>
    </row>
    <row r="63" spans="1:18" s="1842" customFormat="1" ht="13.5" thickBot="1">
      <c r="A63" s="372"/>
      <c r="B63" s="1175"/>
      <c r="C63" s="29"/>
      <c r="D63" s="1185"/>
      <c r="E63" s="1169" t="s">
        <v>1443</v>
      </c>
      <c r="F63" s="348">
        <f t="shared" ca="1" si="0"/>
        <v>18861.03</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544.6</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54.5</v>
      </c>
      <c r="D65" s="1183" t="s">
        <v>1450</v>
      </c>
      <c r="E65" s="1169" t="s">
        <v>1418</v>
      </c>
      <c r="F65" s="376">
        <f t="shared" ca="1" si="0"/>
        <v>1E-3</v>
      </c>
      <c r="I65" s="1929" t="s">
        <v>1575</v>
      </c>
      <c r="J65" s="1930">
        <v>40</v>
      </c>
      <c r="K65" s="1930">
        <v>30</v>
      </c>
      <c r="L65" s="1930">
        <v>50</v>
      </c>
      <c r="M65" s="1932">
        <v>0.02</v>
      </c>
      <c r="O65" s="1884" t="s">
        <v>1037</v>
      </c>
      <c r="P65" s="1885" t="s">
        <v>1524</v>
      </c>
      <c r="Q65" s="1886">
        <f ca="1">C40+J29</f>
        <v>98455</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-5176</v>
      </c>
      <c r="D67" s="1182" t="s">
        <v>1460</v>
      </c>
      <c r="E67" s="1187"/>
      <c r="F67" s="1188"/>
      <c r="O67" s="1894" t="s">
        <v>1039</v>
      </c>
      <c r="P67" s="1885" t="s">
        <v>1558</v>
      </c>
      <c r="Q67" s="1933">
        <f ca="1">L51</f>
        <v>-3020</v>
      </c>
      <c r="R67" s="1886" t="s">
        <v>1578</v>
      </c>
    </row>
    <row r="68" spans="1:18" s="1842" customFormat="1" ht="16.5" thickBot="1">
      <c r="A68" s="1166" t="s">
        <v>1029</v>
      </c>
      <c r="B68" s="1167" t="s">
        <v>1481</v>
      </c>
      <c r="C68" s="346">
        <f ca="1">ROUND(C67*(1-((1+F70)/(1+F68))^F69)/(F68-F70),0)</f>
        <v>-81660</v>
      </c>
      <c r="D68" s="1184" t="s">
        <v>1465</v>
      </c>
      <c r="E68" s="1169" t="s">
        <v>1466</v>
      </c>
      <c r="F68" s="357">
        <f ca="1">F40</f>
        <v>5.5E-2</v>
      </c>
      <c r="O68" s="1894" t="s">
        <v>1040</v>
      </c>
      <c r="P68" s="1934" t="s">
        <v>1579</v>
      </c>
      <c r="Q68" s="1886">
        <f ca="1">ROUND(Q69-Q70*Q71,0)</f>
        <v>-179</v>
      </c>
      <c r="R68" s="1886" t="s">
        <v>1048</v>
      </c>
    </row>
    <row r="69" spans="1:18" s="1842" customFormat="1" ht="13.5" thickBot="1">
      <c r="A69" s="1170"/>
      <c r="B69" s="1171"/>
      <c r="C69" s="351"/>
      <c r="D69" s="1189" t="s">
        <v>1469</v>
      </c>
      <c r="E69" s="1169" t="s">
        <v>1470</v>
      </c>
      <c r="F69" s="379">
        <f ca="1">F41</f>
        <v>37.78</v>
      </c>
      <c r="O69" s="1894" t="s">
        <v>1045</v>
      </c>
      <c r="P69" s="1934" t="s">
        <v>1580</v>
      </c>
      <c r="Q69" s="1886">
        <f ca="1">C39</f>
        <v>4450</v>
      </c>
      <c r="R69" s="1886" t="s">
        <v>1525</v>
      </c>
    </row>
    <row r="70" spans="1:18" s="1842" customFormat="1" ht="13.5" thickBot="1">
      <c r="A70" s="1173"/>
      <c r="B70" s="1174"/>
      <c r="C70" s="355"/>
      <c r="D70" s="1185"/>
      <c r="E70" s="1169" t="s">
        <v>1473</v>
      </c>
      <c r="F70" s="1275"/>
      <c r="O70" s="1894" t="s">
        <v>1046</v>
      </c>
      <c r="P70" s="1934" t="s">
        <v>1581</v>
      </c>
      <c r="Q70" s="1886">
        <f ca="1">C13</f>
        <v>54458</v>
      </c>
      <c r="R70" s="1886" t="s">
        <v>1525</v>
      </c>
    </row>
    <row r="71" spans="1:18" s="1842" customFormat="1" ht="13.5" thickBot="1">
      <c r="A71" s="1190" t="s">
        <v>1030</v>
      </c>
      <c r="B71" s="1191" t="s">
        <v>1483</v>
      </c>
      <c r="C71" s="382">
        <f ca="1">ROUND(C68*10000/F71,0)</f>
        <v>-9853</v>
      </c>
      <c r="D71" s="1192" t="s">
        <v>1484</v>
      </c>
      <c r="E71" s="1193" t="s">
        <v>1485</v>
      </c>
      <c r="F71" s="385">
        <f ca="1">F43</f>
        <v>82874.319999999978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4629</v>
      </c>
      <c r="D75" s="1842"/>
      <c r="E75" s="1842"/>
      <c r="F75" s="1842"/>
      <c r="K75" s="1868"/>
      <c r="L75" s="1842"/>
      <c r="O75" s="1884" t="s">
        <v>1043</v>
      </c>
      <c r="P75" s="1885" t="s">
        <v>1545</v>
      </c>
      <c r="Q75" s="1886">
        <f ca="1">Q65+Q66</f>
        <v>98455</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-4.0000000000000036E-2</v>
      </c>
    </row>
    <row r="80" spans="1:18">
      <c r="B80" s="386" t="s">
        <v>1507</v>
      </c>
      <c r="C80" s="318">
        <f ca="1">ROUND(C75/C39,3)</f>
        <v>1.04</v>
      </c>
    </row>
    <row r="81" spans="2:3">
      <c r="B81" s="314" t="s">
        <v>1508</v>
      </c>
      <c r="C81" s="282"/>
    </row>
    <row r="82" spans="2:3">
      <c r="B82" s="317" t="s">
        <v>1509</v>
      </c>
      <c r="C82" s="319">
        <f ca="1">1-C83</f>
        <v>0.44699999999999995</v>
      </c>
    </row>
    <row r="83" spans="2:3">
      <c r="B83" s="317" t="s">
        <v>1510</v>
      </c>
      <c r="C83" s="318">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3073</v>
      </c>
      <c r="D1" s="1820" t="s">
        <v>3147</v>
      </c>
      <c r="E1" s="1821" t="s">
        <v>1383</v>
      </c>
      <c r="F1" s="1283">
        <f ca="1">J53</f>
        <v>37.78</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3651</v>
      </c>
      <c r="C2" s="1845" t="s">
        <v>1512</v>
      </c>
      <c r="D2" s="1845"/>
      <c r="E2" s="1846"/>
      <c r="F2" s="1847"/>
      <c r="G2" s="1848"/>
      <c r="H2" s="1840"/>
      <c r="I2" s="1840"/>
      <c r="J2" s="1840"/>
      <c r="K2" s="1841"/>
      <c r="L2" s="1840"/>
      <c r="M2" s="1840"/>
    </row>
    <row r="3" spans="1:37" ht="18" customHeight="1" thickBot="1">
      <c r="A3" s="1849" t="s">
        <v>1513</v>
      </c>
      <c r="B3" s="1850">
        <f ca="1">IF(ISERROR(B2*10000/F43),0,ROUND(B2*10000/F43,0))</f>
        <v>6390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248</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248</v>
      </c>
      <c r="D6" s="164" t="s">
        <v>3023</v>
      </c>
      <c r="E6" s="347" t="s">
        <v>1401</v>
      </c>
      <c r="F6" s="348">
        <f ca="1">INDIRECT("'数据-取费表'!u"&amp;$G$1)</f>
        <v>1.4000000000000001</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5713.75</v>
      </c>
      <c r="G7" s="1851"/>
      <c r="H7" s="349"/>
      <c r="I7" s="3172"/>
      <c r="J7" s="351"/>
      <c r="K7" s="352"/>
      <c r="L7" s="347" t="s">
        <v>1402</v>
      </c>
      <c r="M7" s="348">
        <f ca="1">F7</f>
        <v>5713.75</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3443</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2385</v>
      </c>
      <c r="D14" s="2944" t="s">
        <v>1414</v>
      </c>
      <c r="E14" s="2943"/>
      <c r="F14" s="364"/>
      <c r="G14" s="1851"/>
      <c r="H14" s="1201" t="s">
        <v>1032</v>
      </c>
      <c r="I14" s="347" t="s">
        <v>1415</v>
      </c>
      <c r="J14" s="24">
        <f ca="1">C29</f>
        <v>3443</v>
      </c>
      <c r="K14" s="2940"/>
      <c r="L14" s="979"/>
      <c r="M14" s="980"/>
    </row>
    <row r="15" spans="1:37" s="1858" customFormat="1" ht="18" customHeight="1" thickBot="1">
      <c r="A15" s="1201" t="s">
        <v>1033</v>
      </c>
      <c r="B15" s="347" t="s">
        <v>1416</v>
      </c>
      <c r="C15" s="24">
        <f ca="1">ROUND(C14*F15,0)</f>
        <v>119</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64</v>
      </c>
      <c r="K16" s="1337" t="s">
        <v>1421</v>
      </c>
      <c r="L16" s="2946"/>
      <c r="M16" s="1294"/>
    </row>
    <row r="17" spans="1:37" s="1858" customFormat="1" ht="18" customHeight="1">
      <c r="A17" s="1201" t="s">
        <v>1386</v>
      </c>
      <c r="B17" s="347" t="s">
        <v>1422</v>
      </c>
      <c r="C17" s="24">
        <f ca="1">ROUND(F17*(F43+INDIRECT("'数据-取费表'!S"&amp;$G$1))/10000,0)</f>
        <v>120</v>
      </c>
      <c r="D17" s="347" t="s">
        <v>1423</v>
      </c>
      <c r="E17" s="347" t="s">
        <v>1424</v>
      </c>
      <c r="F17" s="26">
        <f>'数据-取费表'!B35</f>
        <v>200</v>
      </c>
      <c r="G17" s="1854"/>
      <c r="H17" s="1201" t="s">
        <v>1032</v>
      </c>
      <c r="I17" s="347" t="s">
        <v>1425</v>
      </c>
      <c r="J17" s="24">
        <f ca="1">ROUND(IF(项目基本情况!B11="自然人",J5*M17,J18+J19+J20),1)</f>
        <v>29.1</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36</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2660</v>
      </c>
      <c r="D19" s="140" t="s">
        <v>1432</v>
      </c>
      <c r="E19" s="2939"/>
      <c r="F19" s="26"/>
      <c r="G19" s="1851"/>
      <c r="H19" s="1201" t="s">
        <v>1033</v>
      </c>
      <c r="I19" s="347" t="s">
        <v>1433</v>
      </c>
      <c r="J19" s="24">
        <f ca="1">IF(K19="按租金收入计税",ROUND(J5*M19,2),ROUND(C29*M19*0.7,2))</f>
        <v>28.92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80</v>
      </c>
      <c r="D20" s="369" t="s">
        <v>1436</v>
      </c>
      <c r="E20" s="347" t="s">
        <v>1418</v>
      </c>
      <c r="F20" s="367">
        <f>'数据-取费表'!B37</f>
        <v>0.03</v>
      </c>
      <c r="G20" s="1854"/>
      <c r="H20" s="1201" t="s">
        <v>1385</v>
      </c>
      <c r="I20" s="164" t="s">
        <v>1437</v>
      </c>
      <c r="J20" s="25">
        <f ca="1">ROUND(M20*M21/10000,2)</f>
        <v>0.2</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1300.3700000000001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34.4</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130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-64</v>
      </c>
      <c r="K25" s="1345" t="s">
        <v>1460</v>
      </c>
      <c r="L25" s="1346"/>
      <c r="M25" s="1347"/>
    </row>
    <row r="26" spans="1:37">
      <c r="A26" s="1201" t="s">
        <v>1031</v>
      </c>
      <c r="B26" s="347" t="s">
        <v>1461</v>
      </c>
      <c r="C26" s="24">
        <f ca="1">ROUND((C19+C20)*F26,0)</f>
        <v>274</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3443</v>
      </c>
      <c r="D29" s="1342"/>
      <c r="E29" s="1340"/>
      <c r="F29" s="1343"/>
      <c r="G29" s="1854"/>
      <c r="H29" s="380" t="s">
        <v>1030</v>
      </c>
      <c r="I29" s="381" t="s">
        <v>1475</v>
      </c>
      <c r="J29" s="382">
        <f ca="1">ROUND(J26/(1+F40)^F41,0)</f>
        <v>0</v>
      </c>
      <c r="K29" s="383" t="s">
        <v>1476</v>
      </c>
      <c r="L29" s="384"/>
      <c r="M29" s="385">
        <f ca="1">INDIRECT("'数据-取费表'!k"&amp;$G$1)</f>
        <v>5713.75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83</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43</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12.99</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29.76</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0.2</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1300.3700000000001</v>
      </c>
      <c r="G35" s="1851"/>
      <c r="H35" s="745"/>
      <c r="I35" s="1860"/>
      <c r="J35" s="1861"/>
      <c r="K35" s="1862"/>
      <c r="L35" s="1859"/>
      <c r="M35" s="1859"/>
    </row>
    <row r="36" spans="1:18" ht="18" customHeight="1">
      <c r="A36" s="1352" t="s">
        <v>1036</v>
      </c>
      <c r="B36" s="347" t="s">
        <v>1445</v>
      </c>
      <c r="C36" s="24">
        <f ca="1">ROUND(C29*F36,1)</f>
        <v>34.4</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3.4</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2.5</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165</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3651</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6390</v>
      </c>
      <c r="D43" s="383" t="s">
        <v>1484</v>
      </c>
      <c r="E43" s="384" t="s">
        <v>1485</v>
      </c>
      <c r="F43" s="385">
        <f ca="1">INDIRECT("'数据-取费表'!k"&amp;$G$1)</f>
        <v>5713.75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-8810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3651</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3443</v>
      </c>
      <c r="R49" s="1886" t="s">
        <v>1525</v>
      </c>
    </row>
    <row r="50" spans="1:18" s="1842" customFormat="1" ht="13.5" thickBot="1">
      <c r="A50" s="1195"/>
      <c r="B50" s="1198"/>
      <c r="C50" s="1368"/>
      <c r="D50" s="1172"/>
      <c r="E50" s="1277" t="s">
        <v>1402</v>
      </c>
      <c r="F50" s="1278">
        <f ca="1">F7</f>
        <v>5713.75</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-2155</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3651</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3443</v>
      </c>
      <c r="D56" s="1914"/>
      <c r="E56" s="1915"/>
      <c r="F56" s="1907"/>
      <c r="I56" s="1916" t="s">
        <v>1550</v>
      </c>
      <c r="J56" s="1917" t="s">
        <v>3052</v>
      </c>
      <c r="K56" s="1887" t="s">
        <v>1551</v>
      </c>
      <c r="L56" s="1890" t="str">
        <f ca="1">IF(L48&lt;J51,"——",L48-J53)</f>
        <v>——</v>
      </c>
      <c r="O56" s="1884" t="s">
        <v>1037</v>
      </c>
      <c r="P56" s="1885" t="s">
        <v>1524</v>
      </c>
      <c r="Q56" s="1886">
        <f ca="1">C40+J29</f>
        <v>3651</v>
      </c>
      <c r="R56" s="1886" t="s">
        <v>1525</v>
      </c>
    </row>
    <row r="57" spans="1:18" s="1842" customFormat="1" ht="24.75" thickBot="1">
      <c r="A57" s="1918"/>
      <c r="B57" s="1169" t="s">
        <v>1474</v>
      </c>
      <c r="C57" s="282">
        <f ca="1">C29</f>
        <v>3443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327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289.39999999999998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289.20999999999998</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0.2</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3651</v>
      </c>
      <c r="R62" s="1886" t="s">
        <v>1044</v>
      </c>
    </row>
    <row r="63" spans="1:18" s="1842" customFormat="1" ht="13.5" thickBot="1">
      <c r="A63" s="372"/>
      <c r="B63" s="1175"/>
      <c r="C63" s="29"/>
      <c r="D63" s="1185"/>
      <c r="E63" s="1169" t="s">
        <v>1443</v>
      </c>
      <c r="F63" s="348">
        <f t="shared" ca="1" si="0"/>
        <v>1300.3700000000001</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34.4</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3.4</v>
      </c>
      <c r="D65" s="1183" t="s">
        <v>1450</v>
      </c>
      <c r="E65" s="1169" t="s">
        <v>1418</v>
      </c>
      <c r="F65" s="376">
        <f t="shared" ca="1" si="0"/>
        <v>1E-3</v>
      </c>
      <c r="I65" s="1929" t="s">
        <v>1575</v>
      </c>
      <c r="J65" s="1930">
        <v>40</v>
      </c>
      <c r="K65" s="1930">
        <v>30</v>
      </c>
      <c r="L65" s="1930">
        <v>50</v>
      </c>
      <c r="M65" s="1932">
        <v>0.02</v>
      </c>
      <c r="O65" s="1884" t="s">
        <v>1037</v>
      </c>
      <c r="P65" s="1885" t="s">
        <v>1524</v>
      </c>
      <c r="Q65" s="1886">
        <f ca="1">C40+J29</f>
        <v>3651</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-327</v>
      </c>
      <c r="D67" s="1182" t="s">
        <v>1460</v>
      </c>
      <c r="E67" s="1187"/>
      <c r="F67" s="1188"/>
      <c r="O67" s="1894" t="s">
        <v>1039</v>
      </c>
      <c r="P67" s="1885" t="s">
        <v>1558</v>
      </c>
      <c r="Q67" s="1933">
        <f ca="1">L51</f>
        <v>-2155</v>
      </c>
      <c r="R67" s="1886" t="s">
        <v>1578</v>
      </c>
    </row>
    <row r="68" spans="1:18" s="1842" customFormat="1" ht="16.5" thickBot="1">
      <c r="A68" s="1166" t="s">
        <v>1029</v>
      </c>
      <c r="B68" s="1167" t="s">
        <v>1481</v>
      </c>
      <c r="C68" s="346">
        <f ca="1">ROUND(C67*(1-((1+F70)/(1+F68))^F69)/(F68-F70),0)</f>
        <v>-5159</v>
      </c>
      <c r="D68" s="1184" t="s">
        <v>1465</v>
      </c>
      <c r="E68" s="1169" t="s">
        <v>1466</v>
      </c>
      <c r="F68" s="357">
        <f ca="1">F40</f>
        <v>5.5E-2</v>
      </c>
      <c r="O68" s="1894" t="s">
        <v>1040</v>
      </c>
      <c r="P68" s="1934" t="s">
        <v>1579</v>
      </c>
      <c r="Q68" s="1886">
        <f ca="1">ROUND(Q69-Q70*Q71,0)</f>
        <v>-128</v>
      </c>
      <c r="R68" s="1886" t="s">
        <v>1048</v>
      </c>
    </row>
    <row r="69" spans="1:18" s="1842" customFormat="1" ht="13.5" thickBot="1">
      <c r="A69" s="1170"/>
      <c r="B69" s="1171"/>
      <c r="C69" s="351"/>
      <c r="D69" s="1189" t="s">
        <v>1469</v>
      </c>
      <c r="E69" s="1169" t="s">
        <v>1470</v>
      </c>
      <c r="F69" s="379">
        <f ca="1">F41</f>
        <v>37.78</v>
      </c>
      <c r="O69" s="1894" t="s">
        <v>1045</v>
      </c>
      <c r="P69" s="1934" t="s">
        <v>1580</v>
      </c>
      <c r="Q69" s="1886">
        <f ca="1">C39</f>
        <v>165</v>
      </c>
      <c r="R69" s="1886" t="s">
        <v>1525</v>
      </c>
    </row>
    <row r="70" spans="1:18" s="1842" customFormat="1" ht="13.5" thickBot="1">
      <c r="A70" s="1173"/>
      <c r="B70" s="1174"/>
      <c r="C70" s="355"/>
      <c r="D70" s="1185"/>
      <c r="E70" s="1169" t="s">
        <v>1473</v>
      </c>
      <c r="F70" s="1275"/>
      <c r="O70" s="1894" t="s">
        <v>1046</v>
      </c>
      <c r="P70" s="1934" t="s">
        <v>1581</v>
      </c>
      <c r="Q70" s="1886">
        <f ca="1">C13</f>
        <v>3443</v>
      </c>
      <c r="R70" s="1886" t="s">
        <v>1525</v>
      </c>
    </row>
    <row r="71" spans="1:18" s="1842" customFormat="1" ht="13.5" thickBot="1">
      <c r="A71" s="1190" t="s">
        <v>1030</v>
      </c>
      <c r="B71" s="1191" t="s">
        <v>1483</v>
      </c>
      <c r="C71" s="382">
        <f ca="1">ROUND(C68*10000/F71,0)</f>
        <v>-9029</v>
      </c>
      <c r="D71" s="1192" t="s">
        <v>1484</v>
      </c>
      <c r="E71" s="1193" t="s">
        <v>1485</v>
      </c>
      <c r="F71" s="385">
        <f ca="1">F43</f>
        <v>5713.75</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293</v>
      </c>
      <c r="D75" s="1842"/>
      <c r="E75" s="1842"/>
      <c r="F75" s="1842"/>
      <c r="K75" s="1868"/>
      <c r="L75" s="1842"/>
      <c r="O75" s="1884" t="s">
        <v>1043</v>
      </c>
      <c r="P75" s="1885" t="s">
        <v>1545</v>
      </c>
      <c r="Q75" s="1886">
        <f ca="1">Q65+Q66</f>
        <v>3651</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-0.77600000000000002</v>
      </c>
    </row>
    <row r="80" spans="1:18">
      <c r="B80" s="386" t="s">
        <v>1507</v>
      </c>
      <c r="C80" s="318">
        <f ca="1">ROUND(C75/C39,3)</f>
        <v>1.776</v>
      </c>
    </row>
    <row r="81" spans="2:3">
      <c r="B81" s="314" t="s">
        <v>1508</v>
      </c>
      <c r="C81" s="282"/>
    </row>
    <row r="82" spans="2:3">
      <c r="B82" s="317" t="s">
        <v>1509</v>
      </c>
      <c r="C82" s="319">
        <f ca="1">1-C83</f>
        <v>5.7000000000000051E-2</v>
      </c>
    </row>
    <row r="83" spans="2:3">
      <c r="B83" s="317" t="s">
        <v>1510</v>
      </c>
      <c r="C83" s="318">
        <f ca="1">ROUND(C13/C40,3)</f>
        <v>0.94299999999999995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14" sqref="F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3147</v>
      </c>
      <c r="E1" s="1821" t="s">
        <v>1383</v>
      </c>
      <c r="F1" s="1283">
        <f ca="1">J53</f>
        <v>37.78</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5633</v>
      </c>
      <c r="C2" s="1845" t="s">
        <v>1512</v>
      </c>
      <c r="D2" s="1845"/>
      <c r="E2" s="1846"/>
      <c r="F2" s="1847"/>
      <c r="G2" s="1848"/>
      <c r="H2" s="1840"/>
      <c r="I2" s="1840"/>
      <c r="J2" s="1840"/>
      <c r="K2" s="1841"/>
      <c r="L2" s="1840"/>
      <c r="M2" s="1840"/>
    </row>
    <row r="3" spans="1:37" ht="18" customHeight="1" thickBot="1">
      <c r="A3" s="1849" t="s">
        <v>1513</v>
      </c>
      <c r="B3" s="1850">
        <f ca="1">IF(ISERROR(B2*10000/F43),0,ROUND(B2*10000/F43,0))</f>
        <v>3029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462</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462</v>
      </c>
      <c r="D6" s="164" t="s">
        <v>3023</v>
      </c>
      <c r="E6" s="347" t="s">
        <v>1401</v>
      </c>
      <c r="F6" s="348">
        <f ca="1">INDIRECT("'数据-取费表'!u"&amp;$G$1)</f>
        <v>0.8</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18596.150000000001</v>
      </c>
      <c r="G7" s="1851"/>
      <c r="H7" s="349"/>
      <c r="I7" s="3172"/>
      <c r="J7" s="351"/>
      <c r="K7" s="352"/>
      <c r="L7" s="347" t="s">
        <v>1402</v>
      </c>
      <c r="M7" s="348">
        <f ca="1">F7</f>
        <v>18596.150000000001</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3032</v>
      </c>
      <c r="E10" s="358" t="s">
        <v>1406</v>
      </c>
      <c r="F10" s="1366" t="s">
        <v>3152</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9474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6832</v>
      </c>
      <c r="D14" s="1800" t="s">
        <v>1414</v>
      </c>
      <c r="E14" s="1794"/>
      <c r="F14" s="364"/>
      <c r="G14" s="1851"/>
      <c r="H14" s="1201" t="s">
        <v>1032</v>
      </c>
      <c r="I14" s="347" t="s">
        <v>1415</v>
      </c>
      <c r="J14" s="24">
        <f ca="1">C29</f>
        <v>9474</v>
      </c>
      <c r="K14" s="15"/>
      <c r="L14" s="979"/>
      <c r="M14" s="980"/>
    </row>
    <row r="15" spans="1:37" s="1858" customFormat="1" ht="18" customHeight="1" thickBot="1">
      <c r="A15" s="1201" t="s">
        <v>1033</v>
      </c>
      <c r="B15" s="347" t="s">
        <v>1416</v>
      </c>
      <c r="C15" s="24">
        <f ca="1">ROUND(C14*F15,0)</f>
        <v>342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175</v>
      </c>
      <c r="K16" s="1337" t="s">
        <v>1421</v>
      </c>
      <c r="L16" s="1338"/>
      <c r="M16" s="1294"/>
    </row>
    <row r="17" spans="1:37" s="1858" customFormat="1" ht="18" customHeight="1">
      <c r="A17" s="1201" t="s">
        <v>1386</v>
      </c>
      <c r="B17" s="347" t="s">
        <v>1422</v>
      </c>
      <c r="C17" s="24">
        <f ca="1">ROUND(F17*(F43+INDIRECT("'数据-取费表'!S"&amp;$G$1))/10000,0)</f>
        <v>390</v>
      </c>
      <c r="D17" s="347" t="s">
        <v>1423</v>
      </c>
      <c r="E17" s="347" t="s">
        <v>1424</v>
      </c>
      <c r="F17" s="26">
        <f>'数据-取费表'!B35</f>
        <v>200</v>
      </c>
      <c r="G17" s="1854"/>
      <c r="H17" s="1201" t="s">
        <v>1032</v>
      </c>
      <c r="I17" s="347" t="s">
        <v>1425</v>
      </c>
      <c r="J17" s="24">
        <f ca="1">ROUND(IF(项目基本情况!B11="自然人",J5*M17,J18+J19+J20),1)</f>
        <v>80.2</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102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7666</v>
      </c>
      <c r="D19" s="140" t="s">
        <v>1432</v>
      </c>
      <c r="E19" s="1818"/>
      <c r="F19" s="26"/>
      <c r="G19" s="1851"/>
      <c r="H19" s="1201" t="s">
        <v>1033</v>
      </c>
      <c r="I19" s="347" t="s">
        <v>1433</v>
      </c>
      <c r="J19" s="24">
        <f ca="1">IF(K19="按租金收入计税",ROUND(J5*M19,2),ROUND(C29*M19*0.7,2))</f>
        <v>79.58</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230</v>
      </c>
      <c r="D20" s="369" t="s">
        <v>1436</v>
      </c>
      <c r="E20" s="347" t="s">
        <v>1418</v>
      </c>
      <c r="F20" s="367">
        <f>'数据-取费表'!B37</f>
        <v>0.03</v>
      </c>
      <c r="G20" s="1854"/>
      <c r="H20" s="1201" t="s">
        <v>1385</v>
      </c>
      <c r="I20" s="164" t="s">
        <v>1437</v>
      </c>
      <c r="J20" s="25">
        <f ca="1">ROUND(M20*M21/10000,2)</f>
        <v>0.63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4232.22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94.7</v>
      </c>
      <c r="K22" s="1798"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375</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-175</v>
      </c>
      <c r="K25" s="1345" t="s">
        <v>1460</v>
      </c>
      <c r="L25" s="1346"/>
      <c r="M25" s="1347"/>
    </row>
    <row r="26" spans="1:37">
      <c r="A26" s="1201" t="s">
        <v>1031</v>
      </c>
      <c r="B26" s="347" t="s">
        <v>1461</v>
      </c>
      <c r="C26" s="24">
        <f ca="1">ROUND((C19+C20)*F26,0)</f>
        <v>395</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9474</v>
      </c>
      <c r="D29" s="1342"/>
      <c r="E29" s="1340"/>
      <c r="F29" s="1343"/>
      <c r="G29" s="1854"/>
      <c r="H29" s="380" t="s">
        <v>1030</v>
      </c>
      <c r="I29" s="381" t="s">
        <v>1475</v>
      </c>
      <c r="J29" s="382">
        <f ca="1">ROUND(J26/(1+F40)^F41,0)</f>
        <v>0</v>
      </c>
      <c r="K29" s="383" t="s">
        <v>1476</v>
      </c>
      <c r="L29" s="384"/>
      <c r="M29" s="385">
        <f ca="1">INDIRECT("'数据-取费表'!k"&amp;$G$1)</f>
        <v>18596.150000000001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80.3</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24.2</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55.44</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0.63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4232.22</v>
      </c>
      <c r="G35" s="1851"/>
      <c r="H35" s="745"/>
      <c r="I35" s="1860"/>
      <c r="J35" s="1861"/>
      <c r="K35" s="1862"/>
      <c r="L35" s="1859"/>
      <c r="M35" s="1859"/>
    </row>
    <row r="36" spans="1:18" ht="18" customHeight="1">
      <c r="A36" s="1352" t="s">
        <v>1036</v>
      </c>
      <c r="B36" s="347" t="s">
        <v>1445</v>
      </c>
      <c r="C36" s="24">
        <f ca="1">ROUND(C29*F36,1)</f>
        <v>94.7</v>
      </c>
      <c r="D36" s="1798"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9.5</v>
      </c>
      <c r="D37" s="1798"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4.5999999999999996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273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5633</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3029</v>
      </c>
      <c r="D43" s="383" t="s">
        <v>1484</v>
      </c>
      <c r="E43" s="384" t="s">
        <v>1485</v>
      </c>
      <c r="F43" s="385">
        <f ca="1">INDIRECT("'数据-取费表'!k"&amp;$G$1)</f>
        <v>18596.150000000001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-20801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5633</v>
      </c>
      <c r="R47" s="1886" t="s">
        <v>1525</v>
      </c>
    </row>
    <row r="48" spans="1:18" s="1842" customFormat="1" ht="28.5" thickBot="1">
      <c r="A48" s="1360" t="s">
        <v>1132</v>
      </c>
      <c r="B48" s="345" t="s">
        <v>1397</v>
      </c>
      <c r="C48" s="1817">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3024</v>
      </c>
      <c r="E49" s="1830" t="s">
        <v>1487</v>
      </c>
      <c r="F49" s="1281"/>
      <c r="G49" s="1891"/>
      <c r="H49" s="793"/>
      <c r="I49" s="1887" t="s">
        <v>1530</v>
      </c>
      <c r="J49" s="1892"/>
      <c r="K49" s="1889" t="s">
        <v>1531</v>
      </c>
      <c r="L49" s="1893"/>
      <c r="O49" s="1894" t="s">
        <v>1039</v>
      </c>
      <c r="P49" s="1885" t="s">
        <v>1532</v>
      </c>
      <c r="Q49" s="1886">
        <f ca="1">C29</f>
        <v>9474</v>
      </c>
      <c r="R49" s="1886" t="s">
        <v>1525</v>
      </c>
    </row>
    <row r="50" spans="1:18" s="1842" customFormat="1" ht="13.5" thickBot="1">
      <c r="A50" s="1195"/>
      <c r="B50" s="1198"/>
      <c r="C50" s="1368"/>
      <c r="D50" s="1172"/>
      <c r="E50" s="1277" t="s">
        <v>1402</v>
      </c>
      <c r="F50" s="1278">
        <f ca="1">F7</f>
        <v>18596.150000000001</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-9616</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5633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9474</v>
      </c>
      <c r="D56" s="1914"/>
      <c r="E56" s="1915"/>
      <c r="F56" s="1907"/>
      <c r="I56" s="1916" t="s">
        <v>1550</v>
      </c>
      <c r="J56" s="1917" t="s">
        <v>3052</v>
      </c>
      <c r="K56" s="1887" t="s">
        <v>1551</v>
      </c>
      <c r="L56" s="1890" t="str">
        <f ca="1">IF(L48&lt;J51,"——",L48-J53)</f>
        <v>——</v>
      </c>
      <c r="O56" s="1884" t="s">
        <v>1037</v>
      </c>
      <c r="P56" s="1885" t="s">
        <v>1524</v>
      </c>
      <c r="Q56" s="1886">
        <f ca="1">C40+J29</f>
        <v>5633</v>
      </c>
      <c r="R56" s="1886" t="s">
        <v>1525</v>
      </c>
    </row>
    <row r="57" spans="1:18" s="1842" customFormat="1" ht="24.75" thickBot="1">
      <c r="A57" s="1918"/>
      <c r="B57" s="1169" t="s">
        <v>1474</v>
      </c>
      <c r="C57" s="282">
        <f ca="1">C29</f>
        <v>9474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901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796.5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795.82</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0.63</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5633</v>
      </c>
      <c r="R62" s="1886" t="s">
        <v>1044</v>
      </c>
    </row>
    <row r="63" spans="1:18" s="1842" customFormat="1" ht="13.5" thickBot="1">
      <c r="A63" s="372"/>
      <c r="B63" s="1175"/>
      <c r="C63" s="29"/>
      <c r="D63" s="1185"/>
      <c r="E63" s="1169" t="s">
        <v>1495</v>
      </c>
      <c r="F63" s="348">
        <f t="shared" ca="1" si="0"/>
        <v>4232.22</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94.7</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9.5</v>
      </c>
      <c r="D65" s="1183" t="s">
        <v>1450</v>
      </c>
      <c r="E65" s="1169" t="s">
        <v>1451</v>
      </c>
      <c r="F65" s="376">
        <f t="shared" ca="1" si="0"/>
        <v>1E-3</v>
      </c>
      <c r="I65" s="1929" t="s">
        <v>1575</v>
      </c>
      <c r="J65" s="1930">
        <v>40</v>
      </c>
      <c r="K65" s="1930">
        <v>30</v>
      </c>
      <c r="L65" s="1930">
        <v>50</v>
      </c>
      <c r="M65" s="1932">
        <v>0.02</v>
      </c>
      <c r="O65" s="1884" t="s">
        <v>1037</v>
      </c>
      <c r="P65" s="1885" t="s">
        <v>1576</v>
      </c>
      <c r="Q65" s="1886">
        <f ca="1">C40+J29</f>
        <v>5633</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-901</v>
      </c>
      <c r="D67" s="1182" t="s">
        <v>1460</v>
      </c>
      <c r="E67" s="1187"/>
      <c r="F67" s="1188"/>
      <c r="O67" s="1894" t="s">
        <v>1039</v>
      </c>
      <c r="P67" s="1885" t="s">
        <v>1558</v>
      </c>
      <c r="Q67" s="1933">
        <f ca="1">L51</f>
        <v>-9616</v>
      </c>
      <c r="R67" s="1886" t="s">
        <v>1578</v>
      </c>
    </row>
    <row r="68" spans="1:18" s="1842" customFormat="1" ht="16.5" thickBot="1">
      <c r="A68" s="1166" t="s">
        <v>1029</v>
      </c>
      <c r="B68" s="1167" t="s">
        <v>1481</v>
      </c>
      <c r="C68" s="346">
        <f ca="1">ROUND(C67*(1-((1+F70)/(1+F68))^F69)/(F68-F70),0)</f>
        <v>-15168</v>
      </c>
      <c r="D68" s="1184" t="s">
        <v>1465</v>
      </c>
      <c r="E68" s="1169" t="s">
        <v>1466</v>
      </c>
      <c r="F68" s="357">
        <f ca="1">F40</f>
        <v>0.05</v>
      </c>
      <c r="O68" s="1894" t="s">
        <v>1040</v>
      </c>
      <c r="P68" s="1934" t="s">
        <v>1579</v>
      </c>
      <c r="Q68" s="1886">
        <f ca="1">ROUND(Q69-Q70*Q71,0)</f>
        <v>-532</v>
      </c>
      <c r="R68" s="1886" t="s">
        <v>1048</v>
      </c>
    </row>
    <row r="69" spans="1:18" s="1842" customFormat="1" ht="13.5" thickBot="1">
      <c r="A69" s="1170"/>
      <c r="B69" s="1171"/>
      <c r="C69" s="351"/>
      <c r="D69" s="1189" t="s">
        <v>1469</v>
      </c>
      <c r="E69" s="1169" t="s">
        <v>1470</v>
      </c>
      <c r="F69" s="379">
        <f ca="1">F41</f>
        <v>37.78</v>
      </c>
      <c r="O69" s="1894" t="s">
        <v>1045</v>
      </c>
      <c r="P69" s="1934" t="s">
        <v>1580</v>
      </c>
      <c r="Q69" s="1886">
        <f ca="1">C39</f>
        <v>273</v>
      </c>
      <c r="R69" s="1886" t="s">
        <v>1525</v>
      </c>
    </row>
    <row r="70" spans="1:18" s="1842" customFormat="1" ht="13.5" thickBot="1">
      <c r="A70" s="1173"/>
      <c r="B70" s="1174"/>
      <c r="C70" s="355"/>
      <c r="D70" s="1185"/>
      <c r="E70" s="1169" t="s">
        <v>1473</v>
      </c>
      <c r="F70" s="1275"/>
      <c r="O70" s="1894" t="s">
        <v>1046</v>
      </c>
      <c r="P70" s="1934" t="s">
        <v>1581</v>
      </c>
      <c r="Q70" s="1886">
        <f ca="1">C13</f>
        <v>9474</v>
      </c>
      <c r="R70" s="1886" t="s">
        <v>1525</v>
      </c>
    </row>
    <row r="71" spans="1:18" s="1842" customFormat="1" ht="13.5" thickBot="1">
      <c r="A71" s="1190" t="s">
        <v>1030</v>
      </c>
      <c r="B71" s="1191" t="s">
        <v>1483</v>
      </c>
      <c r="C71" s="382">
        <f ca="1">ROUND(C68*10000/F71,0)</f>
        <v>-8157</v>
      </c>
      <c r="D71" s="1192" t="s">
        <v>1484</v>
      </c>
      <c r="E71" s="1193" t="s">
        <v>1485</v>
      </c>
      <c r="F71" s="385">
        <f ca="1">F43</f>
        <v>18596.150000000001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805</v>
      </c>
      <c r="D75" s="1842"/>
      <c r="E75" s="1842"/>
      <c r="F75" s="1842"/>
      <c r="K75" s="1868"/>
      <c r="L75" s="1842"/>
      <c r="O75" s="1884" t="s">
        <v>1043</v>
      </c>
      <c r="P75" s="1885" t="s">
        <v>1545</v>
      </c>
      <c r="Q75" s="1886">
        <f ca="1">Q65+Q66</f>
        <v>5633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-1.9489999999999998</v>
      </c>
    </row>
    <row r="80" spans="1:18">
      <c r="B80" s="386" t="s">
        <v>1507</v>
      </c>
      <c r="C80" s="318">
        <f ca="1">ROUND(C75/C39,3)</f>
        <v>2.9489999999999998</v>
      </c>
    </row>
    <row r="81" spans="2:3">
      <c r="B81" s="314" t="s">
        <v>1508</v>
      </c>
      <c r="C81" s="282"/>
    </row>
    <row r="82" spans="2:3">
      <c r="B82" s="317" t="s">
        <v>1509</v>
      </c>
      <c r="C82" s="319">
        <f ca="1">1-C83</f>
        <v>-0.68199999999999994</v>
      </c>
    </row>
    <row r="83" spans="2:3">
      <c r="B83" s="317" t="s">
        <v>1510</v>
      </c>
      <c r="C83" s="318">
        <f ca="1">ROUND(C13/C40,3)</f>
        <v>1.6819999999999999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1" t="s">
        <v>1399</v>
      </c>
      <c r="C6" s="1296">
        <f ca="1">ROUND(F6*F8*F7*(1-F9),0)</f>
        <v>0</v>
      </c>
      <c r="D6" s="164" t="s">
        <v>3020</v>
      </c>
      <c r="E6" s="347" t="s">
        <v>1401</v>
      </c>
      <c r="F6" s="348">
        <f ca="1">INDIRECT("'数据-取费表'!u"&amp;$G$1)</f>
        <v>0</v>
      </c>
      <c r="G6" s="1851"/>
      <c r="H6" s="1291" t="s">
        <v>1032</v>
      </c>
      <c r="I6" s="3171" t="s">
        <v>1399</v>
      </c>
      <c r="J6" s="346">
        <f ca="1">ROUND(M6*M8*M7*(1-M9),0)</f>
        <v>0</v>
      </c>
      <c r="K6" s="1834" t="s">
        <v>3021</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0</v>
      </c>
      <c r="G7" s="1851"/>
      <c r="H7" s="349"/>
      <c r="I7" s="3172"/>
      <c r="J7" s="351"/>
      <c r="K7" s="352"/>
      <c r="L7" s="347" t="s">
        <v>1402</v>
      </c>
      <c r="M7" s="348">
        <f ca="1">F7</f>
        <v>0</v>
      </c>
    </row>
    <row r="8" spans="1:37" ht="18" customHeight="1">
      <c r="A8" s="349"/>
      <c r="B8" s="3172"/>
      <c r="C8" s="351"/>
      <c r="D8" s="352"/>
      <c r="E8" s="347" t="s">
        <v>1403</v>
      </c>
      <c r="F8" s="348">
        <f ca="1">INDIRECT("'数据-取费表'!ai"&amp;$G$1)</f>
        <v>0</v>
      </c>
      <c r="G8" s="1851"/>
      <c r="H8" s="349"/>
      <c r="I8" s="3172"/>
      <c r="J8" s="351"/>
      <c r="K8" s="352"/>
      <c r="L8" s="347" t="s">
        <v>1403</v>
      </c>
      <c r="M8" s="348">
        <f ca="1">INDIRECT("'数据-取费表'!ai"&amp;$G$1)</f>
        <v>0</v>
      </c>
    </row>
    <row r="9" spans="1:37" ht="18" customHeight="1">
      <c r="A9" s="349"/>
      <c r="B9" s="3173"/>
      <c r="C9" s="351"/>
      <c r="D9" s="352"/>
      <c r="E9" s="347" t="s">
        <v>1404</v>
      </c>
      <c r="F9" s="357">
        <f ca="1">INDIRECT("'数据-取费表'!w"&amp;$G$1)</f>
        <v>0</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c r="G10" s="1851"/>
      <c r="H10" s="1291" t="s">
        <v>1036</v>
      </c>
      <c r="I10" s="1823" t="s">
        <v>1405</v>
      </c>
      <c r="J10" s="346">
        <f ca="1">ROUND(IF(M10="押一",J6/12*M11,IF(M10="押二",J6/12*2*M11,IF(M10="押三",J6/12*3*M11,J11*M11))),0)</f>
        <v>0</v>
      </c>
      <c r="K10" s="1835" t="s">
        <v>3033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4" t="s">
        <v>1544</v>
      </c>
      <c r="L53" s="317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2517</v>
      </c>
      <c r="B1" s="2560"/>
      <c r="C1" s="2560"/>
      <c r="D1" s="2560"/>
      <c r="E1" s="2561"/>
    </row>
    <row r="2" spans="1:6" ht="15.75">
      <c r="A2" s="2562" t="s">
        <v>2321</v>
      </c>
      <c r="B2" s="2563">
        <f ca="1">SUMIF(B6:B13,"&lt;&gt;#ref!",B6:B13)</f>
        <v>107739</v>
      </c>
      <c r="C2" s="2564" t="s">
        <v>2510</v>
      </c>
      <c r="D2" s="2565" t="s">
        <v>2511</v>
      </c>
      <c r="E2" s="2566">
        <f>SUM(E6:E13)</f>
        <v>112500.80999999997</v>
      </c>
    </row>
    <row r="3" spans="1:6" ht="15.75">
      <c r="A3" s="2562" t="s">
        <v>1391</v>
      </c>
      <c r="B3" s="2563">
        <f ca="1">ROUND(B2*10000/E2,0)</f>
        <v>9577</v>
      </c>
      <c r="C3" s="2564" t="s">
        <v>2518</v>
      </c>
      <c r="D3" s="2567"/>
      <c r="E3" s="2568"/>
    </row>
    <row r="4" spans="1:6" ht="15.75">
      <c r="A4" s="2569"/>
      <c r="B4" s="2567"/>
      <c r="C4" s="2567"/>
      <c r="D4" s="2567"/>
      <c r="E4" s="2568"/>
    </row>
    <row r="5" spans="1:6" ht="15">
      <c r="A5" s="2570" t="s">
        <v>2512</v>
      </c>
      <c r="B5" s="3176" t="s">
        <v>2513</v>
      </c>
      <c r="C5" s="3176"/>
      <c r="D5" s="2571"/>
      <c r="E5" s="2572" t="s">
        <v>2514</v>
      </c>
      <c r="F5" s="2573" t="s">
        <v>2515</v>
      </c>
    </row>
    <row r="6" spans="1:6">
      <c r="A6" s="2574" t="str">
        <f>'数据-取费表'!AN6</f>
        <v>收益法-地上研发</v>
      </c>
      <c r="B6" s="2573">
        <f ca="1">IF(F6="是",'数据-取费表'!AO6,0)</f>
        <v>98455</v>
      </c>
      <c r="C6" s="2564" t="s">
        <v>2510</v>
      </c>
      <c r="D6" s="2567"/>
      <c r="E6" s="2575">
        <f>IF(OR(A6=0,F6="否"),0,'数据-取费表'!K6+'数据-取费表'!S6)</f>
        <v>86985.079999999973</v>
      </c>
      <c r="F6" s="2576" t="s">
        <v>2516</v>
      </c>
    </row>
    <row r="7" spans="1:6">
      <c r="A7" s="2574" t="str">
        <f>'数据-取费表'!AN7</f>
        <v>收益法-地下研发</v>
      </c>
      <c r="B7" s="2573">
        <f ca="1">IF(F7="是",'数据-取费表'!AO7,0)</f>
        <v>3651</v>
      </c>
      <c r="C7" s="2564" t="s">
        <v>2510</v>
      </c>
      <c r="D7" s="2567"/>
      <c r="E7" s="2575">
        <f>IF(OR(A7=0,F7="否"),0,'数据-取费表'!K7+'数据-取费表'!S7)</f>
        <v>5997.17</v>
      </c>
      <c r="F7" s="2576" t="s">
        <v>2516</v>
      </c>
    </row>
    <row r="8" spans="1:6">
      <c r="A8" s="2574" t="str">
        <f>'数据-取费表'!AN8</f>
        <v>收益法-地下车库</v>
      </c>
      <c r="B8" s="2573">
        <f ca="1">IF(F8="是",'数据-取费表'!AO8,0)</f>
        <v>5633</v>
      </c>
      <c r="C8" s="2564" t="s">
        <v>2510</v>
      </c>
      <c r="D8" s="2567"/>
      <c r="E8" s="2575">
        <f>IF(OR(A8=0,F8="否"),0,'数据-取费表'!K8+'数据-取费表'!S8)</f>
        <v>19518.560000000001</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6"/>
      <c r="C21" s="3186"/>
      <c r="D21" s="3186"/>
      <c r="E21" s="3186"/>
      <c r="F21" s="3186"/>
      <c r="G21" s="3186"/>
      <c r="H21" s="1765">
        <v>0.1</v>
      </c>
      <c r="I21" s="1310">
        <f>ROUND(I10*H21,0)</f>
        <v>0</v>
      </c>
    </row>
    <row r="22" spans="1:9" ht="14.25">
      <c r="A22" s="3187" t="s">
        <v>1107</v>
      </c>
      <c r="B22" s="3188"/>
      <c r="C22" s="3189"/>
      <c r="D22" s="1317" t="s">
        <v>1108</v>
      </c>
      <c r="E22" s="1317" t="s">
        <v>1109</v>
      </c>
      <c r="F22" s="1318" t="s">
        <v>1110</v>
      </c>
      <c r="G22" s="1318" t="s">
        <v>1111</v>
      </c>
      <c r="H22" s="1311" t="s">
        <v>1112</v>
      </c>
      <c r="I22" s="1302" t="s">
        <v>1113</v>
      </c>
    </row>
    <row r="23" spans="1:9" ht="14.25" thickBot="1">
      <c r="A23" s="3190"/>
      <c r="B23" s="3191"/>
      <c r="C23" s="3192"/>
      <c r="D23" s="1319"/>
      <c r="E23" s="1319"/>
      <c r="F23" s="1319"/>
      <c r="G23" s="1320"/>
      <c r="H23" s="1321"/>
      <c r="I23" s="1322">
        <f>ROUND(E23*D23*F23*(1-G23)/10000,0)</f>
        <v>0</v>
      </c>
    </row>
    <row r="26" spans="1:9">
      <c r="A26" s="1323" t="s">
        <v>1114</v>
      </c>
      <c r="B26" s="1323"/>
      <c r="C26" s="1323"/>
      <c r="D26" s="1323"/>
      <c r="E26" s="3193">
        <f>C27-C30-C31-C32</f>
        <v>0</v>
      </c>
      <c r="F26" s="3193"/>
      <c r="G26" s="3193"/>
      <c r="H26" s="1737" t="s">
        <v>1336</v>
      </c>
    </row>
    <row r="27" spans="1:9">
      <c r="A27" s="1324">
        <v>1</v>
      </c>
      <c r="B27" s="1325" t="s">
        <v>1115</v>
      </c>
      <c r="C27" s="1325">
        <f>C28+C29</f>
        <v>0</v>
      </c>
      <c r="D27" s="1325"/>
      <c r="E27" s="3194"/>
      <c r="F27" s="3194"/>
      <c r="G27" s="3194"/>
    </row>
    <row r="28" spans="1:9">
      <c r="A28" s="1326" t="s">
        <v>1116</v>
      </c>
      <c r="B28" s="1325" t="s">
        <v>1117</v>
      </c>
      <c r="C28" s="1325"/>
      <c r="D28" s="1325"/>
      <c r="E28" s="3194"/>
      <c r="F28" s="3194"/>
      <c r="G28" s="31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5"/>
      <c r="F32" s="3185"/>
      <c r="G32" s="3185"/>
    </row>
    <row r="33" spans="1:7" hidden="1">
      <c r="A33" s="3195" t="s">
        <v>1126</v>
      </c>
      <c r="B33" s="3196"/>
      <c r="C33" s="3196"/>
      <c r="D33" s="3197"/>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2520</v>
      </c>
      <c r="C1" s="1634" t="s">
        <v>2521</v>
      </c>
      <c r="D1" s="1621"/>
      <c r="E1" s="2581"/>
      <c r="F1" s="2582" t="s">
        <v>2522</v>
      </c>
      <c r="G1" s="1631" t="s">
        <v>2523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2525</v>
      </c>
      <c r="D3" s="399">
        <f>IF(D1="",'数据-汇总表'!E3,SUMIF('数据-汇总表'!$C19:$C33,D1,'数据-汇总表'!$E19:$E33))</f>
        <v>112500.81000000001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216" t="s">
        <v>2527</v>
      </c>
      <c r="D4" s="3217"/>
      <c r="E4" s="3218" t="s">
        <v>2528</v>
      </c>
      <c r="F4" s="3219"/>
      <c r="G4" s="3216" t="s">
        <v>2529</v>
      </c>
      <c r="H4" s="3217"/>
      <c r="I4" s="3216" t="s">
        <v>2530</v>
      </c>
      <c r="J4" s="3217"/>
      <c r="K4" s="2594" t="s">
        <v>2531</v>
      </c>
      <c r="L4" s="1130"/>
      <c r="M4" s="1131"/>
      <c r="N4" s="1131"/>
      <c r="O4" s="1131"/>
      <c r="P4" s="3220" t="s">
        <v>2532</v>
      </c>
      <c r="Q4" s="3221"/>
      <c r="R4" s="3203" t="s">
        <v>2528</v>
      </c>
      <c r="S4" s="3204"/>
      <c r="T4" s="3203" t="s">
        <v>2529</v>
      </c>
      <c r="U4" s="3204"/>
      <c r="V4" s="3228" t="s">
        <v>2530</v>
      </c>
      <c r="W4" s="3228"/>
      <c r="X4" s="1813"/>
      <c r="Y4" s="3203" t="s">
        <v>2532</v>
      </c>
      <c r="Z4" s="3204"/>
      <c r="AA4" s="3198" t="s">
        <v>2528</v>
      </c>
      <c r="AB4" s="3198" t="s">
        <v>2529</v>
      </c>
      <c r="AC4" s="3198" t="s">
        <v>2530</v>
      </c>
    </row>
    <row r="5" spans="1:29" ht="15">
      <c r="A5" s="404"/>
      <c r="B5" s="405"/>
      <c r="C5" s="3209" t="s">
        <v>2533</v>
      </c>
      <c r="D5" s="3210"/>
      <c r="E5" s="3207" t="s">
        <v>2534</v>
      </c>
      <c r="F5" s="3208"/>
      <c r="G5" s="3209" t="s">
        <v>2535</v>
      </c>
      <c r="H5" s="3210"/>
      <c r="I5" s="3209" t="s">
        <v>2536</v>
      </c>
      <c r="J5" s="3210"/>
      <c r="K5" s="2595"/>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2595"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1" t="s">
        <v>2540</v>
      </c>
      <c r="Q7" s="3229"/>
      <c r="R7" s="770" t="s">
        <v>23</v>
      </c>
      <c r="S7" s="771">
        <f t="shared" ref="S7:S15" si="0">F7</f>
        <v>0</v>
      </c>
      <c r="T7" s="770" t="s">
        <v>23</v>
      </c>
      <c r="U7" s="771">
        <f t="shared" ref="U7:U15" si="1">H7</f>
        <v>0</v>
      </c>
      <c r="V7" s="770" t="s">
        <v>23</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1" t="s">
        <v>2543</v>
      </c>
      <c r="Q8" s="3202"/>
      <c r="R8" s="770" t="s">
        <v>23</v>
      </c>
      <c r="S8" s="771">
        <f t="shared" si="0"/>
        <v>0</v>
      </c>
      <c r="T8" s="770" t="s">
        <v>23</v>
      </c>
      <c r="U8" s="771">
        <f t="shared" si="1"/>
        <v>0</v>
      </c>
      <c r="V8" s="770" t="s">
        <v>23</v>
      </c>
      <c r="W8" s="771">
        <f t="shared" si="2"/>
        <v>0</v>
      </c>
      <c r="X8" s="772"/>
      <c r="Y8" s="3201" t="s">
        <v>2543</v>
      </c>
      <c r="Z8" s="320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2550</v>
      </c>
      <c r="B15" s="69" t="s">
        <v>2081</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2551</v>
      </c>
      <c r="Q15" s="1810" t="str">
        <f t="shared" si="6"/>
        <v>居住社区成熟度</v>
      </c>
      <c r="R15" s="774" t="s">
        <v>21</v>
      </c>
      <c r="S15" s="775">
        <f t="shared" si="0"/>
        <v>100</v>
      </c>
      <c r="T15" s="774" t="s">
        <v>21</v>
      </c>
      <c r="U15" s="775">
        <f t="shared" si="1"/>
        <v>100</v>
      </c>
      <c r="V15" s="774" t="s">
        <v>21</v>
      </c>
      <c r="W15" s="775">
        <f t="shared" si="2"/>
        <v>100</v>
      </c>
      <c r="X15" s="1813"/>
      <c r="Y15" s="3235" t="s">
        <v>2551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43"/>
      <c r="Q16" s="1810"/>
      <c r="R16" s="774"/>
      <c r="S16" s="775"/>
      <c r="T16" s="774"/>
      <c r="U16" s="775"/>
      <c r="V16" s="774"/>
      <c r="W16" s="775"/>
      <c r="X16" s="1813"/>
      <c r="Y16" s="3236"/>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10" t="str">
        <f>B17</f>
        <v>交通便捷度</v>
      </c>
      <c r="R17" s="774" t="s">
        <v>21</v>
      </c>
      <c r="S17" s="775">
        <f>F17</f>
        <v>100</v>
      </c>
      <c r="T17" s="774" t="s">
        <v>21</v>
      </c>
      <c r="U17" s="775">
        <f>H17</f>
        <v>100</v>
      </c>
      <c r="V17" s="774" t="s">
        <v>21</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43"/>
      <c r="Q18" s="1810"/>
      <c r="R18" s="774"/>
      <c r="S18" s="775"/>
      <c r="T18" s="774"/>
      <c r="U18" s="775"/>
      <c r="V18" s="774"/>
      <c r="W18" s="775"/>
      <c r="X18" s="1813"/>
      <c r="Y18" s="3236"/>
      <c r="Z18" s="1814"/>
      <c r="AA18" s="1811">
        <v>1</v>
      </c>
      <c r="AB18" s="1811">
        <v>1</v>
      </c>
      <c r="AC18" s="1811">
        <v>1</v>
      </c>
    </row>
    <row r="19" spans="1:29" ht="99.75">
      <c r="A19" s="428"/>
      <c r="B19" s="451" t="s">
        <v>2088</v>
      </c>
      <c r="C19" s="2605" t="str">
        <f>估价对象房地状况!C7</f>
        <v>估价对象所在区域公共配套设施（超市：永辉超市(合生世界村店)、学校：海贝儿国际幼儿园）齐备度较差</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10" t="str">
        <f>B19</f>
        <v>公共配套设施</v>
      </c>
      <c r="R19" s="774" t="s">
        <v>21</v>
      </c>
      <c r="S19" s="775">
        <f>F19</f>
        <v>100</v>
      </c>
      <c r="T19" s="774" t="s">
        <v>21</v>
      </c>
      <c r="U19" s="775">
        <f>H19</f>
        <v>100</v>
      </c>
      <c r="V19" s="774" t="s">
        <v>21</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43"/>
      <c r="Q20" s="1810"/>
      <c r="R20" s="774"/>
      <c r="S20" s="775"/>
      <c r="T20" s="774"/>
      <c r="U20" s="775"/>
      <c r="V20" s="774"/>
      <c r="W20" s="775"/>
      <c r="X20" s="1813"/>
      <c r="Y20" s="3236"/>
      <c r="Z20" s="1814"/>
      <c r="AA20" s="1811">
        <v>1</v>
      </c>
      <c r="AB20" s="1811">
        <v>1</v>
      </c>
      <c r="AC20" s="1811">
        <v>1</v>
      </c>
    </row>
    <row r="21" spans="1:29" ht="42.75">
      <c r="A21" s="428"/>
      <c r="B21" s="1384" t="s">
        <v>2091</v>
      </c>
      <c r="C21" s="2605" t="str">
        <f>估价对象房地状况!C8</f>
        <v>估价对象所在区域基础设施水平六通一平；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2095</v>
      </c>
      <c r="C23" s="2605" t="str">
        <f>估价对象房地状况!C9</f>
        <v>区域自然环境：凉水河；人文环境无；综合评价环境状况一般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10" t="str">
        <f>B23</f>
        <v>自然及人文环境</v>
      </c>
      <c r="R23" s="774" t="s">
        <v>21</v>
      </c>
      <c r="S23" s="775">
        <f>F23</f>
        <v>100</v>
      </c>
      <c r="T23" s="774" t="s">
        <v>21</v>
      </c>
      <c r="U23" s="775">
        <f>H23</f>
        <v>100</v>
      </c>
      <c r="V23" s="774" t="s">
        <v>21</v>
      </c>
      <c r="W23" s="775">
        <f>J23</f>
        <v>100</v>
      </c>
      <c r="X23" s="1813"/>
      <c r="Y23" s="3236"/>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6"/>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43"/>
      <c r="Q26" s="1810" t="str">
        <f t="shared" si="11"/>
        <v>朝向</v>
      </c>
      <c r="R26" s="774" t="s">
        <v>21</v>
      </c>
      <c r="S26" s="775">
        <f t="shared" si="12"/>
        <v>100</v>
      </c>
      <c r="T26" s="774" t="s">
        <v>21</v>
      </c>
      <c r="U26" s="775">
        <f t="shared" si="13"/>
        <v>100</v>
      </c>
      <c r="V26" s="774" t="s">
        <v>21</v>
      </c>
      <c r="W26" s="775">
        <f t="shared" si="14"/>
        <v>100</v>
      </c>
      <c r="X26" s="1813"/>
      <c r="Y26" s="323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43"/>
      <c r="Q27" s="1795">
        <f t="shared" si="11"/>
        <v>111</v>
      </c>
      <c r="R27" s="770" t="s">
        <v>21</v>
      </c>
      <c r="S27" s="771">
        <f t="shared" si="12"/>
        <v>100</v>
      </c>
      <c r="T27" s="770" t="s">
        <v>21</v>
      </c>
      <c r="U27" s="771">
        <f t="shared" si="13"/>
        <v>100</v>
      </c>
      <c r="V27" s="770" t="s">
        <v>21</v>
      </c>
      <c r="W27" s="771">
        <f t="shared" si="14"/>
        <v>100</v>
      </c>
      <c r="X27" s="772"/>
      <c r="Y27" s="323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43"/>
      <c r="Q28" s="1810">
        <f t="shared" si="11"/>
        <v>111</v>
      </c>
      <c r="R28" s="774" t="s">
        <v>21</v>
      </c>
      <c r="S28" s="775">
        <f t="shared" si="12"/>
        <v>100</v>
      </c>
      <c r="T28" s="774" t="s">
        <v>21</v>
      </c>
      <c r="U28" s="775">
        <f t="shared" si="13"/>
        <v>100</v>
      </c>
      <c r="V28" s="774" t="s">
        <v>21</v>
      </c>
      <c r="W28" s="775">
        <f t="shared" si="14"/>
        <v>100</v>
      </c>
      <c r="X28" s="1813"/>
      <c r="Y28" s="323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43"/>
      <c r="Q29" s="1810">
        <f t="shared" si="11"/>
        <v>111</v>
      </c>
      <c r="R29" s="774" t="s">
        <v>21</v>
      </c>
      <c r="S29" s="775">
        <f t="shared" si="12"/>
        <v>100</v>
      </c>
      <c r="T29" s="774" t="s">
        <v>21</v>
      </c>
      <c r="U29" s="775">
        <f t="shared" si="13"/>
        <v>100</v>
      </c>
      <c r="V29" s="774" t="s">
        <v>21</v>
      </c>
      <c r="W29" s="775">
        <f t="shared" si="14"/>
        <v>100</v>
      </c>
      <c r="X29" s="1813"/>
      <c r="Y29" s="323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43"/>
      <c r="Q30" s="1810">
        <f t="shared" si="11"/>
        <v>111</v>
      </c>
      <c r="R30" s="774" t="s">
        <v>21</v>
      </c>
      <c r="S30" s="775">
        <f t="shared" si="12"/>
        <v>100</v>
      </c>
      <c r="T30" s="774" t="s">
        <v>21</v>
      </c>
      <c r="U30" s="775">
        <f t="shared" si="13"/>
        <v>100</v>
      </c>
      <c r="V30" s="774" t="s">
        <v>21</v>
      </c>
      <c r="W30" s="775">
        <f t="shared" si="14"/>
        <v>100</v>
      </c>
      <c r="X30" s="1813"/>
      <c r="Y30" s="323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43"/>
      <c r="Q31" s="1810">
        <f t="shared" si="11"/>
        <v>111</v>
      </c>
      <c r="R31" s="774" t="s">
        <v>21</v>
      </c>
      <c r="S31" s="775">
        <f t="shared" si="12"/>
        <v>100</v>
      </c>
      <c r="T31" s="774" t="s">
        <v>21</v>
      </c>
      <c r="U31" s="775">
        <f t="shared" si="13"/>
        <v>100</v>
      </c>
      <c r="V31" s="774" t="s">
        <v>21</v>
      </c>
      <c r="W31" s="775">
        <f t="shared" si="14"/>
        <v>100</v>
      </c>
      <c r="X31" s="1813"/>
      <c r="Y31" s="3236"/>
      <c r="Z31" s="1814">
        <f t="shared" si="18"/>
        <v>111</v>
      </c>
      <c r="AA31" s="1811">
        <f t="shared" si="15"/>
        <v>1</v>
      </c>
      <c r="AB31" s="1811">
        <f t="shared" si="16"/>
        <v>1</v>
      </c>
      <c r="AC31" s="1811">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37" t="s">
        <v>2556</v>
      </c>
      <c r="Q32" s="1810" t="str">
        <f t="shared" si="11"/>
        <v>建筑类型</v>
      </c>
      <c r="R32" s="774" t="s">
        <v>21</v>
      </c>
      <c r="S32" s="775">
        <f t="shared" si="12"/>
        <v>100</v>
      </c>
      <c r="T32" s="774" t="s">
        <v>21</v>
      </c>
      <c r="U32" s="775">
        <f t="shared" si="13"/>
        <v>100</v>
      </c>
      <c r="V32" s="774" t="s">
        <v>21</v>
      </c>
      <c r="W32" s="775">
        <f t="shared" si="14"/>
        <v>100</v>
      </c>
      <c r="X32" s="1813"/>
      <c r="Y32" s="3240"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1" t="e">
        <f t="shared" si="15"/>
        <v>#N/A</v>
      </c>
      <c r="AB33" s="1811" t="e">
        <f t="shared" si="16"/>
        <v>#N/A</v>
      </c>
      <c r="AC33" s="1811"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38"/>
      <c r="Q34" s="1810" t="str">
        <f t="shared" si="11"/>
        <v>建筑结构</v>
      </c>
      <c r="R34" s="774" t="s">
        <v>21</v>
      </c>
      <c r="S34" s="775">
        <f t="shared" si="12"/>
        <v>100</v>
      </c>
      <c r="T34" s="774" t="s">
        <v>21</v>
      </c>
      <c r="U34" s="775">
        <f t="shared" si="13"/>
        <v>100</v>
      </c>
      <c r="V34" s="774" t="s">
        <v>21</v>
      </c>
      <c r="W34" s="775">
        <f t="shared" si="14"/>
        <v>100</v>
      </c>
      <c r="X34" s="1813"/>
      <c r="Y34" s="3240"/>
      <c r="Z34" s="1814" t="str">
        <f t="shared" si="18"/>
        <v>建筑结构</v>
      </c>
      <c r="AA34" s="1811">
        <f t="shared" si="15"/>
        <v>1</v>
      </c>
      <c r="AB34" s="1811">
        <f t="shared" si="16"/>
        <v>1</v>
      </c>
      <c r="AC34" s="1811">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38"/>
      <c r="Q35" s="1810" t="str">
        <f t="shared" si="11"/>
        <v>建筑品质</v>
      </c>
      <c r="R35" s="774" t="s">
        <v>21</v>
      </c>
      <c r="S35" s="775">
        <f t="shared" si="12"/>
        <v>100</v>
      </c>
      <c r="T35" s="774" t="s">
        <v>21</v>
      </c>
      <c r="U35" s="775">
        <f t="shared" si="13"/>
        <v>100</v>
      </c>
      <c r="V35" s="774" t="s">
        <v>21</v>
      </c>
      <c r="W35" s="775">
        <f t="shared" si="14"/>
        <v>100</v>
      </c>
      <c r="X35" s="1813"/>
      <c r="Y35" s="3240"/>
      <c r="Z35" s="1814" t="str">
        <f t="shared" si="18"/>
        <v>建筑品质</v>
      </c>
      <c r="AA35" s="1811">
        <f t="shared" si="15"/>
        <v>1</v>
      </c>
      <c r="AB35" s="1811">
        <f t="shared" si="16"/>
        <v>1</v>
      </c>
      <c r="AC35" s="1811">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38"/>
      <c r="Q36" s="1810" t="str">
        <f t="shared" si="11"/>
        <v>公共部分装修</v>
      </c>
      <c r="R36" s="774" t="s">
        <v>21</v>
      </c>
      <c r="S36" s="775">
        <f t="shared" si="12"/>
        <v>100</v>
      </c>
      <c r="T36" s="774" t="s">
        <v>21</v>
      </c>
      <c r="U36" s="775">
        <f t="shared" si="13"/>
        <v>100</v>
      </c>
      <c r="V36" s="774" t="s">
        <v>21</v>
      </c>
      <c r="W36" s="775">
        <f t="shared" si="14"/>
        <v>100</v>
      </c>
      <c r="X36" s="1813"/>
      <c r="Y36" s="3240"/>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5"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38" t="s">
        <v>2556</v>
      </c>
      <c r="Q38" s="1810" t="str">
        <f t="shared" si="11"/>
        <v>物业管理</v>
      </c>
      <c r="R38" s="774" t="s">
        <v>21</v>
      </c>
      <c r="S38" s="775">
        <f t="shared" si="12"/>
        <v>100</v>
      </c>
      <c r="T38" s="774" t="s">
        <v>21</v>
      </c>
      <c r="U38" s="775">
        <f t="shared" si="13"/>
        <v>100</v>
      </c>
      <c r="V38" s="774" t="s">
        <v>21</v>
      </c>
      <c r="W38" s="775">
        <f t="shared" si="14"/>
        <v>100</v>
      </c>
      <c r="X38" s="1813"/>
      <c r="Y38" s="3240" t="s">
        <v>2556</v>
      </c>
      <c r="Z38" s="1814" t="str">
        <f t="shared" si="18"/>
        <v>物业管理</v>
      </c>
      <c r="AA38" s="1811">
        <f t="shared" si="15"/>
        <v>1</v>
      </c>
      <c r="AB38" s="1811">
        <f t="shared" si="16"/>
        <v>1</v>
      </c>
      <c r="AC38" s="1811">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38"/>
      <c r="Q39" s="1810" t="str">
        <f t="shared" si="11"/>
        <v>市政基础设施</v>
      </c>
      <c r="R39" s="774" t="s">
        <v>21</v>
      </c>
      <c r="S39" s="775">
        <f t="shared" si="12"/>
        <v>100</v>
      </c>
      <c r="T39" s="774" t="s">
        <v>21</v>
      </c>
      <c r="U39" s="775">
        <f t="shared" si="13"/>
        <v>100</v>
      </c>
      <c r="V39" s="774" t="s">
        <v>21</v>
      </c>
      <c r="W39" s="775">
        <f t="shared" si="14"/>
        <v>100</v>
      </c>
      <c r="X39" s="1813"/>
      <c r="Y39" s="3240"/>
      <c r="Z39" s="1814" t="str">
        <f t="shared" si="18"/>
        <v>市政基础设施</v>
      </c>
      <c r="AA39" s="1811">
        <f t="shared" si="15"/>
        <v>1</v>
      </c>
      <c r="AB39" s="1811">
        <f t="shared" si="16"/>
        <v>1</v>
      </c>
      <c r="AC39" s="1811">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38"/>
      <c r="Q40" s="1810" t="str">
        <f t="shared" si="11"/>
        <v>房型</v>
      </c>
      <c r="R40" s="774" t="s">
        <v>21</v>
      </c>
      <c r="S40" s="775">
        <f t="shared" si="12"/>
        <v>100</v>
      </c>
      <c r="T40" s="774" t="s">
        <v>21</v>
      </c>
      <c r="U40" s="775">
        <f t="shared" si="13"/>
        <v>100</v>
      </c>
      <c r="V40" s="774" t="s">
        <v>21</v>
      </c>
      <c r="W40" s="775">
        <f t="shared" si="14"/>
        <v>100</v>
      </c>
      <c r="X40" s="1813"/>
      <c r="Y40" s="3240"/>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1">
        <f t="shared" si="15"/>
        <v>1</v>
      </c>
      <c r="AB41" s="1811">
        <f t="shared" si="16"/>
        <v>1</v>
      </c>
      <c r="AC41" s="1811">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38"/>
      <c r="Q42" s="1810" t="str">
        <f t="shared" si="11"/>
        <v>内部装修</v>
      </c>
      <c r="R42" s="774" t="s">
        <v>21</v>
      </c>
      <c r="S42" s="775">
        <f t="shared" si="12"/>
        <v>100</v>
      </c>
      <c r="T42" s="774" t="s">
        <v>21</v>
      </c>
      <c r="U42" s="775">
        <f t="shared" si="13"/>
        <v>100</v>
      </c>
      <c r="V42" s="774" t="s">
        <v>21</v>
      </c>
      <c r="W42" s="775">
        <f t="shared" si="14"/>
        <v>100</v>
      </c>
      <c r="X42" s="1813"/>
      <c r="Y42" s="3240"/>
      <c r="Z42" s="1814" t="str">
        <f t="shared" si="18"/>
        <v>内部装修</v>
      </c>
      <c r="AA42" s="1811">
        <f t="shared" si="15"/>
        <v>1</v>
      </c>
      <c r="AB42" s="1811">
        <f t="shared" si="16"/>
        <v>1</v>
      </c>
      <c r="AC42" s="1811">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38"/>
      <c r="Q43" s="1810" t="str">
        <f t="shared" si="11"/>
        <v>内部装修维护情况</v>
      </c>
      <c r="R43" s="774" t="s">
        <v>21</v>
      </c>
      <c r="S43" s="775">
        <f t="shared" si="12"/>
        <v>100</v>
      </c>
      <c r="T43" s="774" t="s">
        <v>21</v>
      </c>
      <c r="U43" s="775">
        <f t="shared" si="13"/>
        <v>100</v>
      </c>
      <c r="V43" s="774" t="s">
        <v>21</v>
      </c>
      <c r="W43" s="775">
        <f t="shared" si="14"/>
        <v>100</v>
      </c>
      <c r="X43" s="1813"/>
      <c r="Y43" s="324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38"/>
      <c r="Q44" s="1795">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38"/>
      <c r="Q45" s="1810">
        <f t="shared" si="11"/>
        <v>111</v>
      </c>
      <c r="R45" s="774" t="s">
        <v>21</v>
      </c>
      <c r="S45" s="775">
        <f t="shared" si="12"/>
        <v>100</v>
      </c>
      <c r="T45" s="774" t="s">
        <v>21</v>
      </c>
      <c r="U45" s="775">
        <f t="shared" si="13"/>
        <v>100</v>
      </c>
      <c r="V45" s="774" t="s">
        <v>21</v>
      </c>
      <c r="W45" s="775">
        <f t="shared" si="14"/>
        <v>100</v>
      </c>
      <c r="X45" s="1813"/>
      <c r="Y45" s="3240"/>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39"/>
      <c r="Q46" s="1810">
        <f t="shared" si="11"/>
        <v>111</v>
      </c>
      <c r="R46" s="774" t="s">
        <v>20</v>
      </c>
      <c r="S46" s="775">
        <f t="shared" si="12"/>
        <v>100</v>
      </c>
      <c r="T46" s="774" t="s">
        <v>20</v>
      </c>
      <c r="U46" s="775">
        <f t="shared" si="13"/>
        <v>100</v>
      </c>
      <c r="V46" s="774" t="s">
        <v>20</v>
      </c>
      <c r="W46" s="775">
        <f t="shared" si="14"/>
        <v>100</v>
      </c>
      <c r="X46" s="1813"/>
      <c r="Y46" s="3241"/>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9"/>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1607</v>
      </c>
    </row>
    <row r="2" spans="1:1">
      <c r="A2" s="1946"/>
    </row>
    <row r="3" spans="1:1" ht="18">
      <c r="A3" s="1947" t="str">
        <f>项目基本情况!B5&amp;"："</f>
        <v>北京创合丰威房地产开发有限公司：</v>
      </c>
    </row>
    <row r="4" spans="1:1" ht="72">
      <c r="A4" s="1948" t="str">
        <f>"受贵公司委托，我公司对"&amp;项目基本情况!S1&amp;"进行了预评估。"</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5" spans="1:1" ht="18.75">
      <c r="A5" s="1949" t="s">
        <v>1608</v>
      </c>
    </row>
    <row r="6" spans="1:1" ht="18.75">
      <c r="A6" s="1950" t="s">
        <v>1609</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2018年12月5日（评估专业人员实地查勘之日）</v>
      </c>
    </row>
    <row r="16" spans="1:1" ht="18.75">
      <c r="A16" s="1953" t="s">
        <v>1615</v>
      </c>
    </row>
    <row r="17" spans="1:1" ht="75">
      <c r="A17" s="1948" t="s">
        <v>1616</v>
      </c>
    </row>
    <row r="18" spans="1:1" ht="90">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2633</v>
      </c>
      <c r="C1" s="1634" t="s">
        <v>2521</v>
      </c>
      <c r="D1" s="1621"/>
      <c r="E1" s="2655"/>
      <c r="F1" s="2582"/>
      <c r="G1" s="1631" t="s">
        <v>2634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2321</v>
      </c>
      <c r="B2" s="1418" t="e">
        <f ca="1">IF(C2="——",ROUND(C49*D3/10000,0),ROUND(C49*D3/10000,0)-D2)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2323</v>
      </c>
      <c r="B3" s="609" t="e">
        <f ca="1">IF(C2="——",C49,ROUND(B2*10000/D3,0))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228"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228"/>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28"/>
      <c r="AC6" s="3200"/>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2550</v>
      </c>
      <c r="B15" s="69" t="s">
        <v>2644</v>
      </c>
      <c r="C15" s="2601"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2551</v>
      </c>
      <c r="Q15" s="1810" t="str">
        <f t="shared" si="6"/>
        <v>商业繁华度</v>
      </c>
      <c r="R15" s="774" t="s">
        <v>17</v>
      </c>
      <c r="S15" s="775">
        <f t="shared" si="0"/>
        <v>100</v>
      </c>
      <c r="T15" s="774" t="s">
        <v>17</v>
      </c>
      <c r="U15" s="775">
        <f t="shared" si="1"/>
        <v>100</v>
      </c>
      <c r="V15" s="774" t="s">
        <v>17</v>
      </c>
      <c r="W15" s="775">
        <f t="shared" si="2"/>
        <v>100</v>
      </c>
      <c r="X15" s="1813"/>
      <c r="Y15" s="3235"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43"/>
      <c r="Q18" s="1810"/>
      <c r="R18" s="774"/>
      <c r="S18" s="775"/>
      <c r="T18" s="774"/>
      <c r="U18" s="775"/>
      <c r="V18" s="774"/>
      <c r="W18" s="775"/>
      <c r="X18" s="1813"/>
      <c r="Y18" s="3236"/>
      <c r="Z18" s="1814"/>
      <c r="AA18" s="1811">
        <v>1</v>
      </c>
      <c r="AB18" s="1811">
        <v>1</v>
      </c>
      <c r="AC18" s="1811">
        <v>1</v>
      </c>
    </row>
    <row r="19" spans="1:29" ht="99.75">
      <c r="A19" s="428"/>
      <c r="B19" s="451" t="s">
        <v>2645</v>
      </c>
      <c r="C19" s="2605" t="str">
        <f>估价对象房地状况!C7</f>
        <v>估价对象所在区域公共配套设施（超市：永辉超市(合生世界村店)、学校：海贝儿国际幼儿园）齐备度较差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43"/>
      <c r="Q20" s="1810"/>
      <c r="R20" s="774"/>
      <c r="S20" s="775"/>
      <c r="T20" s="774"/>
      <c r="U20" s="775"/>
      <c r="V20" s="774"/>
      <c r="W20" s="775"/>
      <c r="X20" s="1813"/>
      <c r="Y20" s="3236"/>
      <c r="Z20" s="1814"/>
      <c r="AA20" s="1811">
        <v>1</v>
      </c>
      <c r="AB20" s="1811">
        <v>1</v>
      </c>
      <c r="AC20" s="1811">
        <v>1</v>
      </c>
    </row>
    <row r="21" spans="1:29" ht="42.75">
      <c r="A21" s="428"/>
      <c r="B21" s="1384" t="s">
        <v>2646</v>
      </c>
      <c r="C21" s="2605" t="str">
        <f>估价对象房地状况!C8</f>
        <v>估价对象所在区域基础设施水平六通一平；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2095</v>
      </c>
      <c r="C23" s="2662" t="str">
        <f>估价对象房地状况!C9</f>
        <v>区域自然环境：凉水河；人文环境无；综合评价环境状况一般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10" t="str">
        <f>B23</f>
        <v>自然及人文环境</v>
      </c>
      <c r="R23" s="774" t="s">
        <v>17</v>
      </c>
      <c r="S23" s="775">
        <f>F23</f>
        <v>100</v>
      </c>
      <c r="T23" s="774" t="s">
        <v>17</v>
      </c>
      <c r="U23" s="775">
        <f>H23</f>
        <v>100</v>
      </c>
      <c r="V23" s="774" t="s">
        <v>17</v>
      </c>
      <c r="W23" s="775">
        <f>J23</f>
        <v>100</v>
      </c>
      <c r="X23" s="1813"/>
      <c r="Y23" s="3236"/>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10" t="str">
        <f t="shared" ref="Q25:Q46" si="11">B25</f>
        <v>临街状况</v>
      </c>
      <c r="R25" s="774" t="s">
        <v>17</v>
      </c>
      <c r="S25" s="775">
        <f>F25</f>
        <v>100</v>
      </c>
      <c r="T25" s="774" t="s">
        <v>17</v>
      </c>
      <c r="U25" s="775">
        <f>H25</f>
        <v>100</v>
      </c>
      <c r="V25" s="774" t="s">
        <v>17</v>
      </c>
      <c r="W25" s="775">
        <f>J25</f>
        <v>100</v>
      </c>
      <c r="X25" s="1813"/>
      <c r="Y25" s="3236"/>
      <c r="Z25" s="1814" t="str">
        <f>Q25</f>
        <v>临街状况</v>
      </c>
      <c r="AA25" s="1811">
        <f t="shared" si="3"/>
        <v>1</v>
      </c>
      <c r="AB25" s="1811">
        <f t="shared" si="4"/>
        <v>1</v>
      </c>
      <c r="AC25" s="1811">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10" t="str">
        <f t="shared" si="11"/>
        <v>平面位置/可视性</v>
      </c>
      <c r="R26" s="774" t="s">
        <v>17</v>
      </c>
      <c r="S26" s="775">
        <f>F26</f>
        <v>100</v>
      </c>
      <c r="T26" s="774" t="s">
        <v>17</v>
      </c>
      <c r="U26" s="775">
        <f>H26</f>
        <v>100</v>
      </c>
      <c r="V26" s="774" t="s">
        <v>17</v>
      </c>
      <c r="W26" s="775">
        <f>J26</f>
        <v>100</v>
      </c>
      <c r="X26" s="1813"/>
      <c r="Y26" s="3236"/>
      <c r="Z26" s="1814" t="str">
        <f>Q26</f>
        <v>平面位置/可视性</v>
      </c>
      <c r="AA26" s="1811">
        <f t="shared" si="3"/>
        <v>1</v>
      </c>
      <c r="AB26" s="1811">
        <f t="shared" si="4"/>
        <v>1</v>
      </c>
      <c r="AC26" s="1811">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3"/>
      <c r="Q27" s="1795" t="str">
        <f t="shared" si="11"/>
        <v>人流量</v>
      </c>
      <c r="R27" s="770" t="s">
        <v>17</v>
      </c>
      <c r="S27" s="771">
        <f>F27</f>
        <v>100</v>
      </c>
      <c r="T27" s="770" t="s">
        <v>17</v>
      </c>
      <c r="U27" s="771">
        <f>H27</f>
        <v>100</v>
      </c>
      <c r="V27" s="770" t="s">
        <v>17</v>
      </c>
      <c r="W27" s="771">
        <f>J27</f>
        <v>100</v>
      </c>
      <c r="X27" s="772"/>
      <c r="Y27" s="3236"/>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10">
        <f t="shared" si="11"/>
        <v>111</v>
      </c>
      <c r="R29" s="774" t="s">
        <v>17</v>
      </c>
      <c r="S29" s="775">
        <f t="shared" si="12"/>
        <v>100</v>
      </c>
      <c r="T29" s="774" t="s">
        <v>17</v>
      </c>
      <c r="U29" s="775">
        <f t="shared" si="13"/>
        <v>100</v>
      </c>
      <c r="V29" s="774" t="s">
        <v>17</v>
      </c>
      <c r="W29" s="775">
        <f t="shared" si="14"/>
        <v>100</v>
      </c>
      <c r="X29" s="1813"/>
      <c r="Y29" s="323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1811">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37" t="s">
        <v>2556</v>
      </c>
      <c r="Q32" s="1810" t="str">
        <f t="shared" si="11"/>
        <v>商业类型</v>
      </c>
      <c r="R32" s="774" t="s">
        <v>17</v>
      </c>
      <c r="S32" s="775">
        <f t="shared" si="12"/>
        <v>100</v>
      </c>
      <c r="T32" s="774" t="s">
        <v>17</v>
      </c>
      <c r="U32" s="775">
        <f t="shared" si="13"/>
        <v>100</v>
      </c>
      <c r="V32" s="774" t="s">
        <v>17</v>
      </c>
      <c r="W32" s="775">
        <f t="shared" si="14"/>
        <v>100</v>
      </c>
      <c r="X32" s="1813"/>
      <c r="Y32" s="3240"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1" t="e">
        <f t="shared" si="3"/>
        <v>#N/A</v>
      </c>
      <c r="AB33" s="1811" t="e">
        <f t="shared" si="4"/>
        <v>#N/A</v>
      </c>
      <c r="AC33" s="1811"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38"/>
      <c r="Q34" s="1810" t="str">
        <f t="shared" si="11"/>
        <v>建筑结构</v>
      </c>
      <c r="R34" s="774" t="s">
        <v>17</v>
      </c>
      <c r="S34" s="775">
        <f t="shared" si="12"/>
        <v>100</v>
      </c>
      <c r="T34" s="774" t="s">
        <v>17</v>
      </c>
      <c r="U34" s="775">
        <f t="shared" si="13"/>
        <v>100</v>
      </c>
      <c r="V34" s="774" t="s">
        <v>17</v>
      </c>
      <c r="W34" s="775">
        <f t="shared" si="14"/>
        <v>100</v>
      </c>
      <c r="X34" s="1813"/>
      <c r="Y34" s="3240"/>
      <c r="Z34" s="1814" t="str">
        <f t="shared" si="15"/>
        <v>建筑结构</v>
      </c>
      <c r="AA34" s="1811">
        <f t="shared" si="3"/>
        <v>1</v>
      </c>
      <c r="AB34" s="1811">
        <f t="shared" si="4"/>
        <v>1</v>
      </c>
      <c r="AC34" s="1811">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38"/>
      <c r="Q35" s="1810" t="str">
        <f t="shared" si="11"/>
        <v>公共部分装修</v>
      </c>
      <c r="R35" s="774" t="s">
        <v>17</v>
      </c>
      <c r="S35" s="775">
        <f t="shared" si="12"/>
        <v>100</v>
      </c>
      <c r="T35" s="774" t="s">
        <v>17</v>
      </c>
      <c r="U35" s="775">
        <f t="shared" si="13"/>
        <v>100</v>
      </c>
      <c r="V35" s="774" t="s">
        <v>17</v>
      </c>
      <c r="W35" s="775">
        <f t="shared" si="14"/>
        <v>100</v>
      </c>
      <c r="X35" s="1813"/>
      <c r="Y35" s="3240"/>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10" t="str">
        <f t="shared" si="11"/>
        <v>成新度</v>
      </c>
      <c r="R36" s="774" t="s">
        <v>17</v>
      </c>
      <c r="S36" s="775" t="e">
        <f t="shared" si="12"/>
        <v>#N/A</v>
      </c>
      <c r="T36" s="774" t="s">
        <v>17</v>
      </c>
      <c r="U36" s="775" t="e">
        <f t="shared" si="13"/>
        <v>#N/A</v>
      </c>
      <c r="V36" s="774" t="s">
        <v>17</v>
      </c>
      <c r="W36" s="775" t="e">
        <f t="shared" si="14"/>
        <v>#N/A</v>
      </c>
      <c r="X36" s="1813"/>
      <c r="Y36" s="3240"/>
      <c r="Z36" s="1814" t="str">
        <f t="shared" si="15"/>
        <v>成新度</v>
      </c>
      <c r="AA36" s="1811" t="e">
        <f t="shared" si="3"/>
        <v>#N/A</v>
      </c>
      <c r="AB36" s="1811" t="e">
        <f t="shared" si="4"/>
        <v>#N/A</v>
      </c>
      <c r="AC36" s="1811"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38"/>
      <c r="Q37" s="1795"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38" t="s">
        <v>2556</v>
      </c>
      <c r="Q38" s="1810" t="str">
        <f t="shared" si="11"/>
        <v>业态</v>
      </c>
      <c r="R38" s="774" t="s">
        <v>17</v>
      </c>
      <c r="S38" s="775">
        <f t="shared" si="12"/>
        <v>100</v>
      </c>
      <c r="T38" s="774" t="s">
        <v>17</v>
      </c>
      <c r="U38" s="775">
        <f t="shared" si="13"/>
        <v>100</v>
      </c>
      <c r="V38" s="774" t="s">
        <v>17</v>
      </c>
      <c r="W38" s="775">
        <f t="shared" si="14"/>
        <v>100</v>
      </c>
      <c r="X38" s="1813"/>
      <c r="Y38" s="3240" t="s">
        <v>2556</v>
      </c>
      <c r="Z38" s="1814" t="str">
        <f t="shared" si="15"/>
        <v>业态</v>
      </c>
      <c r="AA38" s="1811">
        <f t="shared" si="3"/>
        <v>1</v>
      </c>
      <c r="AB38" s="1811">
        <f t="shared" si="4"/>
        <v>1</v>
      </c>
      <c r="AC38" s="1811">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38"/>
      <c r="Q39" s="1810" t="str">
        <f t="shared" si="11"/>
        <v>层高</v>
      </c>
      <c r="R39" s="774" t="s">
        <v>17</v>
      </c>
      <c r="S39" s="775">
        <f t="shared" si="12"/>
        <v>100</v>
      </c>
      <c r="T39" s="774" t="s">
        <v>17</v>
      </c>
      <c r="U39" s="775">
        <f t="shared" si="13"/>
        <v>100</v>
      </c>
      <c r="V39" s="774" t="s">
        <v>17</v>
      </c>
      <c r="W39" s="775">
        <f t="shared" si="14"/>
        <v>100</v>
      </c>
      <c r="X39" s="1813"/>
      <c r="Y39" s="3240"/>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10" t="str">
        <f t="shared" si="11"/>
        <v>单套建筑面积</v>
      </c>
      <c r="R40" s="774" t="s">
        <v>17</v>
      </c>
      <c r="S40" s="775">
        <f t="shared" si="12"/>
        <v>100</v>
      </c>
      <c r="T40" s="774" t="s">
        <v>17</v>
      </c>
      <c r="U40" s="775">
        <f t="shared" si="13"/>
        <v>100</v>
      </c>
      <c r="V40" s="774" t="s">
        <v>17</v>
      </c>
      <c r="W40" s="775">
        <f t="shared" si="14"/>
        <v>100</v>
      </c>
      <c r="X40" s="1813"/>
      <c r="Y40" s="3240"/>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1">
        <f t="shared" si="3"/>
        <v>1</v>
      </c>
      <c r="AB41" s="1811">
        <f t="shared" si="4"/>
        <v>1</v>
      </c>
      <c r="AC41" s="1811">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38"/>
      <c r="Q42" s="1810" t="str">
        <f t="shared" si="11"/>
        <v>内部装修</v>
      </c>
      <c r="R42" s="774" t="s">
        <v>17</v>
      </c>
      <c r="S42" s="775">
        <f t="shared" si="12"/>
        <v>100</v>
      </c>
      <c r="T42" s="774" t="s">
        <v>17</v>
      </c>
      <c r="U42" s="775">
        <f t="shared" si="13"/>
        <v>100</v>
      </c>
      <c r="V42" s="774" t="s">
        <v>17</v>
      </c>
      <c r="W42" s="775">
        <f t="shared" si="14"/>
        <v>100</v>
      </c>
      <c r="X42" s="1813"/>
      <c r="Y42" s="3240"/>
      <c r="Z42" s="1814" t="str">
        <f t="shared" si="15"/>
        <v>内部装修</v>
      </c>
      <c r="AA42" s="1811">
        <f t="shared" si="3"/>
        <v>1</v>
      </c>
      <c r="AB42" s="1811">
        <f t="shared" si="4"/>
        <v>1</v>
      </c>
      <c r="AC42" s="1811">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38"/>
      <c r="Q43" s="1810" t="str">
        <f t="shared" si="11"/>
        <v>内部装修维护情况</v>
      </c>
      <c r="R43" s="774" t="s">
        <v>17</v>
      </c>
      <c r="S43" s="775">
        <f t="shared" si="12"/>
        <v>100</v>
      </c>
      <c r="T43" s="774" t="s">
        <v>17</v>
      </c>
      <c r="U43" s="775">
        <f t="shared" si="13"/>
        <v>100</v>
      </c>
      <c r="V43" s="774" t="s">
        <v>17</v>
      </c>
      <c r="W43" s="775">
        <f t="shared" si="14"/>
        <v>100</v>
      </c>
      <c r="X43" s="1813"/>
      <c r="Y43" s="324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5">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10">
        <f t="shared" si="11"/>
        <v>111</v>
      </c>
      <c r="R45" s="774" t="s">
        <v>17</v>
      </c>
      <c r="S45" s="775">
        <f t="shared" si="12"/>
        <v>100</v>
      </c>
      <c r="T45" s="774" t="s">
        <v>17</v>
      </c>
      <c r="U45" s="775">
        <f t="shared" si="13"/>
        <v>100</v>
      </c>
      <c r="V45" s="774" t="s">
        <v>17</v>
      </c>
      <c r="W45" s="775">
        <f t="shared" si="14"/>
        <v>100</v>
      </c>
      <c r="X45" s="1813"/>
      <c r="Y45" s="3240"/>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1811">
        <f t="shared" si="5"/>
        <v>1</v>
      </c>
    </row>
    <row r="47" spans="1:29" ht="15">
      <c r="A47" s="479" t="s">
        <v>2568</v>
      </c>
      <c r="B47" s="480"/>
      <c r="C47" s="1407" t="s">
        <v>1</v>
      </c>
      <c r="D47" s="1408"/>
      <c r="E47" s="1409"/>
      <c r="F47" s="1410"/>
      <c r="G47" s="1411"/>
      <c r="H47" s="1412"/>
      <c r="I47" s="1409"/>
      <c r="J47" s="1412"/>
      <c r="K47" s="783"/>
      <c r="L47" s="1143"/>
      <c r="M47" s="1144"/>
      <c r="N47" s="1131"/>
      <c r="O47" s="1144"/>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2677</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50" t="s">
        <v>2642</v>
      </c>
      <c r="Q4" s="3251"/>
      <c r="R4" s="3245" t="s">
        <v>2638</v>
      </c>
      <c r="S4" s="3246"/>
      <c r="T4" s="3245" t="s">
        <v>2639</v>
      </c>
      <c r="U4" s="3246"/>
      <c r="V4" s="3254" t="s">
        <v>2640</v>
      </c>
      <c r="W4" s="3254"/>
      <c r="X4" s="2668"/>
      <c r="Y4" s="3245" t="s">
        <v>2642</v>
      </c>
      <c r="Z4" s="3246"/>
      <c r="AA4" s="3244" t="s">
        <v>2638</v>
      </c>
      <c r="AB4" s="3244" t="s">
        <v>2639</v>
      </c>
      <c r="AC4" s="3247" t="s">
        <v>2640</v>
      </c>
    </row>
    <row r="5" spans="1:29" ht="15">
      <c r="A5" s="404"/>
      <c r="B5" s="405"/>
      <c r="C5" s="3209" t="s">
        <v>2533</v>
      </c>
      <c r="D5" s="3210"/>
      <c r="E5" s="3207" t="s">
        <v>2534</v>
      </c>
      <c r="F5" s="3208"/>
      <c r="G5" s="3209" t="s">
        <v>2535</v>
      </c>
      <c r="H5" s="3210"/>
      <c r="I5" s="3209" t="s">
        <v>2536</v>
      </c>
      <c r="J5" s="3210"/>
      <c r="K5" s="610"/>
      <c r="L5" s="1130"/>
      <c r="M5" s="1131"/>
      <c r="N5" s="1131"/>
      <c r="O5" s="1131"/>
      <c r="P5" s="3252"/>
      <c r="Q5" s="3223"/>
      <c r="R5" s="3205"/>
      <c r="S5" s="3206"/>
      <c r="T5" s="3205"/>
      <c r="U5" s="3206"/>
      <c r="V5" s="3228"/>
      <c r="W5" s="3228"/>
      <c r="X5" s="1813"/>
      <c r="Y5" s="3205"/>
      <c r="Z5" s="3206"/>
      <c r="AA5" s="3199"/>
      <c r="AB5" s="3199"/>
      <c r="AC5" s="3248"/>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53"/>
      <c r="Q6" s="3225"/>
      <c r="R6" s="3205"/>
      <c r="S6" s="3206"/>
      <c r="T6" s="3226"/>
      <c r="U6" s="3227"/>
      <c r="V6" s="3228"/>
      <c r="W6" s="3228"/>
      <c r="X6" s="1813"/>
      <c r="Y6" s="3226"/>
      <c r="Z6" s="3227"/>
      <c r="AA6" s="3200"/>
      <c r="AB6" s="3200"/>
      <c r="AC6" s="3249"/>
    </row>
    <row r="7" spans="1:29" s="117" customFormat="1" ht="15.75" thickBot="1">
      <c r="A7" s="408" t="s">
        <v>2539</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2543</v>
      </c>
      <c r="Q8" s="3202"/>
      <c r="R8" s="770" t="s">
        <v>17</v>
      </c>
      <c r="S8" s="771">
        <f t="shared" si="0"/>
        <v>0</v>
      </c>
      <c r="T8" s="770" t="s">
        <v>17</v>
      </c>
      <c r="U8" s="771">
        <f t="shared" si="1"/>
        <v>0</v>
      </c>
      <c r="V8" s="770" t="s">
        <v>17</v>
      </c>
      <c r="W8" s="771">
        <f t="shared" si="2"/>
        <v>0</v>
      </c>
      <c r="X8" s="772"/>
      <c r="Y8" s="3201" t="s">
        <v>2543</v>
      </c>
      <c r="Z8" s="3202"/>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85.5">
      <c r="A15" s="440" t="s">
        <v>2550</v>
      </c>
      <c r="B15" s="629" t="s">
        <v>2678</v>
      </c>
      <c r="C15" s="2671" t="str">
        <f>估价对象房地状况!C5</f>
        <v>估价对象位于国家环保产业园，周边办公楼项目较少，联动U谷，入驻率低，综合评价办公集聚程度较差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2551</v>
      </c>
      <c r="Q15" s="1810" t="str">
        <f t="shared" si="6"/>
        <v>办公集聚程度</v>
      </c>
      <c r="R15" s="774" t="s">
        <v>17</v>
      </c>
      <c r="S15" s="775">
        <f t="shared" si="0"/>
        <v>100</v>
      </c>
      <c r="T15" s="774" t="s">
        <v>17</v>
      </c>
      <c r="U15" s="775">
        <f t="shared" si="1"/>
        <v>100</v>
      </c>
      <c r="V15" s="774" t="s">
        <v>17</v>
      </c>
      <c r="W15" s="775">
        <f t="shared" si="2"/>
        <v>100</v>
      </c>
      <c r="X15" s="1813"/>
      <c r="Y15" s="3235" t="s">
        <v>2551</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2672">
        <v>1</v>
      </c>
    </row>
    <row r="17" spans="1:29" ht="71.25">
      <c r="A17" s="428"/>
      <c r="B17" s="631" t="s">
        <v>2090</v>
      </c>
      <c r="C17" s="2673" t="str">
        <f>估价对象房地状况!C6</f>
        <v>周边有821等多条公交线路，北侧1.8km有南六环综合评价交通便捷度较差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43"/>
      <c r="Q18" s="1810"/>
      <c r="R18" s="774"/>
      <c r="S18" s="775"/>
      <c r="T18" s="774"/>
      <c r="U18" s="775"/>
      <c r="V18" s="774"/>
      <c r="W18" s="775"/>
      <c r="X18" s="1813"/>
      <c r="Y18" s="3236"/>
      <c r="Z18" s="1814"/>
      <c r="AA18" s="1811">
        <v>1</v>
      </c>
      <c r="AB18" s="1811">
        <v>1</v>
      </c>
      <c r="AC18" s="2672">
        <v>1</v>
      </c>
    </row>
    <row r="19" spans="1:29" ht="85.5">
      <c r="A19" s="428"/>
      <c r="B19" s="631" t="s">
        <v>2679</v>
      </c>
      <c r="C19" s="2673" t="str">
        <f>估价对象房地状况!C7</f>
        <v>估价对象所在区域公共配套设施（超市：永辉超市(合生世界村店)、学校：海贝儿国际幼儿园）齐备度较差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43"/>
      <c r="Q20" s="1810"/>
      <c r="R20" s="774"/>
      <c r="S20" s="775"/>
      <c r="T20" s="774"/>
      <c r="U20" s="775"/>
      <c r="V20" s="774"/>
      <c r="W20" s="775"/>
      <c r="X20" s="1813"/>
      <c r="Y20" s="3236"/>
      <c r="Z20" s="1814"/>
      <c r="AA20" s="1811">
        <v>1</v>
      </c>
      <c r="AB20" s="1811">
        <v>1</v>
      </c>
      <c r="AC20" s="2672">
        <v>1</v>
      </c>
    </row>
    <row r="21" spans="1:29" ht="42.75">
      <c r="A21" s="428"/>
      <c r="B21" s="633" t="s">
        <v>2680</v>
      </c>
      <c r="C21" s="2673" t="str">
        <f>估价对象房地状况!C8</f>
        <v>估价对象所在区域基础设施水平六通一平；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43"/>
      <c r="Q22" s="1810"/>
      <c r="R22" s="774"/>
      <c r="S22" s="775"/>
      <c r="T22" s="774"/>
      <c r="U22" s="775"/>
      <c r="V22" s="774"/>
      <c r="W22" s="775"/>
      <c r="X22" s="1813"/>
      <c r="Y22" s="3236"/>
      <c r="Z22" s="1814"/>
      <c r="AA22" s="1811">
        <v>1</v>
      </c>
      <c r="AB22" s="1811">
        <v>1</v>
      </c>
      <c r="AC22" s="2672">
        <v>1</v>
      </c>
    </row>
    <row r="23" spans="1:29" ht="57">
      <c r="A23" s="428"/>
      <c r="B23" s="631" t="s">
        <v>2681</v>
      </c>
      <c r="C23" s="2673" t="str">
        <f>估价对象房地状况!C9</f>
        <v>区域自然环境：凉水河；人文环境无；综合评价环境状况一般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43"/>
      <c r="Q24" s="1810"/>
      <c r="R24" s="774"/>
      <c r="S24" s="775"/>
      <c r="T24" s="774"/>
      <c r="U24" s="775"/>
      <c r="V24" s="774"/>
      <c r="W24" s="775"/>
      <c r="X24" s="1813"/>
      <c r="Y24" s="3236"/>
      <c r="Z24" s="1814"/>
      <c r="AA24" s="1811">
        <v>1</v>
      </c>
      <c r="AB24" s="1811">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43"/>
      <c r="Q25" s="1810" t="str">
        <f>B25</f>
        <v>毗邻道路的类型与等级</v>
      </c>
      <c r="R25" s="774" t="s">
        <v>17</v>
      </c>
      <c r="S25" s="775">
        <f>F25</f>
        <v>100</v>
      </c>
      <c r="T25" s="774" t="s">
        <v>17</v>
      </c>
      <c r="U25" s="775">
        <f>H25</f>
        <v>100</v>
      </c>
      <c r="V25" s="774" t="s">
        <v>17</v>
      </c>
      <c r="W25" s="775">
        <f>J25</f>
        <v>100</v>
      </c>
      <c r="X25" s="1813"/>
      <c r="Y25" s="3236"/>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3"/>
      <c r="Q26" s="1810"/>
      <c r="R26" s="774"/>
      <c r="S26" s="775"/>
      <c r="T26" s="774"/>
      <c r="U26" s="775"/>
      <c r="V26" s="774"/>
      <c r="W26" s="775"/>
      <c r="X26" s="1813"/>
      <c r="Y26" s="3236"/>
      <c r="Z26" s="1814"/>
      <c r="AA26" s="1811">
        <v>1</v>
      </c>
      <c r="AB26" s="1811">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10" t="str">
        <f t="shared" ref="Q27:Q47" si="11">B27</f>
        <v>楼层</v>
      </c>
      <c r="R27" s="774" t="s">
        <v>17</v>
      </c>
      <c r="S27" s="775">
        <f>F27</f>
        <v>100</v>
      </c>
      <c r="T27" s="774" t="s">
        <v>17</v>
      </c>
      <c r="U27" s="775">
        <f>H27</f>
        <v>100</v>
      </c>
      <c r="V27" s="774" t="s">
        <v>17</v>
      </c>
      <c r="W27" s="775">
        <f>J27</f>
        <v>100</v>
      </c>
      <c r="X27" s="1813"/>
      <c r="Y27" s="3236"/>
      <c r="Z27" s="1814" t="str">
        <f>Q27</f>
        <v>楼层</v>
      </c>
      <c r="AA27" s="1811">
        <f t="shared" si="3"/>
        <v>1</v>
      </c>
      <c r="AB27" s="1811">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3"/>
      <c r="Q28" s="1795" t="str">
        <f t="shared" si="11"/>
        <v>朝向</v>
      </c>
      <c r="R28" s="770" t="s">
        <v>17</v>
      </c>
      <c r="S28" s="771">
        <f>F28</f>
        <v>100</v>
      </c>
      <c r="T28" s="770" t="s">
        <v>17</v>
      </c>
      <c r="U28" s="771">
        <f>H28</f>
        <v>100</v>
      </c>
      <c r="V28" s="770" t="s">
        <v>17</v>
      </c>
      <c r="W28" s="771">
        <f>J28</f>
        <v>100</v>
      </c>
      <c r="X28" s="772"/>
      <c r="Y28" s="3236"/>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3"/>
      <c r="Q29" s="1810">
        <f t="shared" si="11"/>
        <v>111</v>
      </c>
      <c r="R29" s="774" t="s">
        <v>17</v>
      </c>
      <c r="S29" s="775">
        <f t="shared" ref="S29:S47" si="12">F29</f>
        <v>100</v>
      </c>
      <c r="T29" s="774" t="s">
        <v>17</v>
      </c>
      <c r="U29" s="775">
        <f t="shared" ref="U29:U47" si="13">H29</f>
        <v>100</v>
      </c>
      <c r="V29" s="774" t="s">
        <v>17</v>
      </c>
      <c r="W29" s="775">
        <f t="shared" ref="W29:W47" si="14">J29</f>
        <v>100</v>
      </c>
      <c r="X29" s="1813"/>
      <c r="Y29" s="3236"/>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3"/>
      <c r="Q32" s="1810">
        <f t="shared" si="11"/>
        <v>111</v>
      </c>
      <c r="R32" s="774" t="s">
        <v>17</v>
      </c>
      <c r="S32" s="775">
        <f t="shared" si="12"/>
        <v>100</v>
      </c>
      <c r="T32" s="774" t="s">
        <v>17</v>
      </c>
      <c r="U32" s="775">
        <f t="shared" si="13"/>
        <v>100</v>
      </c>
      <c r="V32" s="774" t="s">
        <v>17</v>
      </c>
      <c r="W32" s="775">
        <f t="shared" si="14"/>
        <v>100</v>
      </c>
      <c r="X32" s="1813"/>
      <c r="Y32" s="3236"/>
      <c r="Z32" s="1814">
        <f t="shared" si="15"/>
        <v>111</v>
      </c>
      <c r="AA32" s="1811">
        <f t="shared" si="3"/>
        <v>1</v>
      </c>
      <c r="AB32" s="1811">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37" t="s">
        <v>2556</v>
      </c>
      <c r="Q33" s="1810" t="str">
        <f t="shared" si="11"/>
        <v>建筑类型</v>
      </c>
      <c r="R33" s="774" t="s">
        <v>17</v>
      </c>
      <c r="S33" s="775">
        <f t="shared" si="12"/>
        <v>100</v>
      </c>
      <c r="T33" s="774" t="s">
        <v>17</v>
      </c>
      <c r="U33" s="775">
        <f t="shared" si="13"/>
        <v>100</v>
      </c>
      <c r="V33" s="774" t="s">
        <v>17</v>
      </c>
      <c r="W33" s="775">
        <f t="shared" si="14"/>
        <v>100</v>
      </c>
      <c r="X33" s="1813"/>
      <c r="Y33" s="3240" t="s">
        <v>2556</v>
      </c>
      <c r="Z33" s="1814" t="str">
        <f t="shared" si="15"/>
        <v>建筑类型</v>
      </c>
      <c r="AA33" s="1811">
        <f t="shared" si="3"/>
        <v>1</v>
      </c>
      <c r="AB33" s="1811">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1" t="e">
        <f t="shared" si="3"/>
        <v>#N/A</v>
      </c>
      <c r="AB34" s="1811"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10" t="str">
        <f t="shared" si="11"/>
        <v>建筑结构</v>
      </c>
      <c r="R35" s="774" t="s">
        <v>17</v>
      </c>
      <c r="S35" s="775">
        <f t="shared" si="12"/>
        <v>100</v>
      </c>
      <c r="T35" s="774" t="s">
        <v>17</v>
      </c>
      <c r="U35" s="775">
        <f t="shared" si="13"/>
        <v>100</v>
      </c>
      <c r="V35" s="774" t="s">
        <v>17</v>
      </c>
      <c r="W35" s="775">
        <f t="shared" si="14"/>
        <v>100</v>
      </c>
      <c r="X35" s="1813"/>
      <c r="Y35" s="3240"/>
      <c r="Z35" s="1814" t="str">
        <f t="shared" si="15"/>
        <v>建筑结构</v>
      </c>
      <c r="AA35" s="1811">
        <f t="shared" si="3"/>
        <v>1</v>
      </c>
      <c r="AB35" s="1811">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10" t="str">
        <f t="shared" si="11"/>
        <v>公共部分装修</v>
      </c>
      <c r="R36" s="774" t="s">
        <v>17</v>
      </c>
      <c r="S36" s="775">
        <f t="shared" si="12"/>
        <v>100</v>
      </c>
      <c r="T36" s="774" t="s">
        <v>17</v>
      </c>
      <c r="U36" s="775">
        <f t="shared" si="13"/>
        <v>100</v>
      </c>
      <c r="V36" s="774" t="s">
        <v>17</v>
      </c>
      <c r="W36" s="775">
        <f t="shared" si="14"/>
        <v>100</v>
      </c>
      <c r="X36" s="1813"/>
      <c r="Y36" s="3240"/>
      <c r="Z36" s="1814" t="str">
        <f t="shared" si="15"/>
        <v>公共部分装修</v>
      </c>
      <c r="AA36" s="1811">
        <f t="shared" si="3"/>
        <v>1</v>
      </c>
      <c r="AB36" s="1811">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8"/>
      <c r="Q37" s="1810" t="str">
        <f t="shared" si="11"/>
        <v>成新度</v>
      </c>
      <c r="R37" s="774" t="s">
        <v>17</v>
      </c>
      <c r="S37" s="775" t="e">
        <f t="shared" si="12"/>
        <v>#N/A</v>
      </c>
      <c r="T37" s="774" t="s">
        <v>17</v>
      </c>
      <c r="U37" s="775" t="e">
        <f t="shared" si="13"/>
        <v>#N/A</v>
      </c>
      <c r="V37" s="774" t="s">
        <v>17</v>
      </c>
      <c r="W37" s="775" t="e">
        <f t="shared" si="14"/>
        <v>#N/A</v>
      </c>
      <c r="X37" s="1813"/>
      <c r="Y37" s="3240"/>
      <c r="Z37" s="1814" t="str">
        <f t="shared" si="15"/>
        <v>成新度</v>
      </c>
      <c r="AA37" s="1811" t="e">
        <f t="shared" si="3"/>
        <v>#N/A</v>
      </c>
      <c r="AB37" s="1811"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95"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2556</v>
      </c>
      <c r="Q39" s="1810" t="str">
        <f t="shared" si="11"/>
        <v>物业管理</v>
      </c>
      <c r="R39" s="774" t="s">
        <v>17</v>
      </c>
      <c r="S39" s="775">
        <f t="shared" si="12"/>
        <v>100</v>
      </c>
      <c r="T39" s="774" t="s">
        <v>17</v>
      </c>
      <c r="U39" s="775">
        <f t="shared" si="13"/>
        <v>100</v>
      </c>
      <c r="V39" s="774" t="s">
        <v>17</v>
      </c>
      <c r="W39" s="775">
        <f t="shared" si="14"/>
        <v>100</v>
      </c>
      <c r="X39" s="1813"/>
      <c r="Y39" s="3240" t="s">
        <v>2556</v>
      </c>
      <c r="Z39" s="1814" t="str">
        <f t="shared" si="15"/>
        <v>物业管理</v>
      </c>
      <c r="AA39" s="1811">
        <f t="shared" si="3"/>
        <v>1</v>
      </c>
      <c r="AB39" s="1811">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10" t="str">
        <f t="shared" si="11"/>
        <v>市政基础设施</v>
      </c>
      <c r="R40" s="774" t="s">
        <v>17</v>
      </c>
      <c r="S40" s="775">
        <f t="shared" si="12"/>
        <v>100</v>
      </c>
      <c r="T40" s="774" t="s">
        <v>17</v>
      </c>
      <c r="U40" s="775">
        <f t="shared" si="13"/>
        <v>100</v>
      </c>
      <c r="V40" s="774" t="s">
        <v>17</v>
      </c>
      <c r="W40" s="775">
        <f t="shared" si="14"/>
        <v>100</v>
      </c>
      <c r="X40" s="1813"/>
      <c r="Y40" s="3240"/>
      <c r="Z40" s="1814" t="str">
        <f t="shared" si="15"/>
        <v>市政基础设施</v>
      </c>
      <c r="AA40" s="1811">
        <f t="shared" si="3"/>
        <v>1</v>
      </c>
      <c r="AB40" s="1811">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10" t="str">
        <f t="shared" si="11"/>
        <v>层高</v>
      </c>
      <c r="R41" s="774" t="s">
        <v>17</v>
      </c>
      <c r="S41" s="775">
        <f t="shared" si="12"/>
        <v>100</v>
      </c>
      <c r="T41" s="774" t="s">
        <v>17</v>
      </c>
      <c r="U41" s="775">
        <f t="shared" si="13"/>
        <v>100</v>
      </c>
      <c r="V41" s="774" t="s">
        <v>17</v>
      </c>
      <c r="W41" s="775">
        <f t="shared" si="14"/>
        <v>100</v>
      </c>
      <c r="X41" s="1813"/>
      <c r="Y41" s="3240"/>
      <c r="Z41" s="1814" t="str">
        <f t="shared" si="15"/>
        <v>层高</v>
      </c>
      <c r="AA41" s="1811">
        <f t="shared" si="3"/>
        <v>1</v>
      </c>
      <c r="AB41" s="1811">
        <f t="shared" si="4"/>
        <v>1</v>
      </c>
      <c r="AC41" s="2672">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1">
        <f t="shared" si="3"/>
        <v>1</v>
      </c>
      <c r="AB42" s="1811">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10" t="str">
        <f t="shared" si="11"/>
        <v>内部装修</v>
      </c>
      <c r="R43" s="774" t="s">
        <v>17</v>
      </c>
      <c r="S43" s="775">
        <f t="shared" si="12"/>
        <v>100</v>
      </c>
      <c r="T43" s="774" t="s">
        <v>17</v>
      </c>
      <c r="U43" s="775">
        <f t="shared" si="13"/>
        <v>100</v>
      </c>
      <c r="V43" s="774" t="s">
        <v>17</v>
      </c>
      <c r="W43" s="775">
        <f t="shared" si="14"/>
        <v>100</v>
      </c>
      <c r="X43" s="1813"/>
      <c r="Y43" s="3240"/>
      <c r="Z43" s="1814" t="str">
        <f t="shared" si="15"/>
        <v>内部装修</v>
      </c>
      <c r="AA43" s="1811">
        <f t="shared" si="3"/>
        <v>1</v>
      </c>
      <c r="AB43" s="1811">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38"/>
      <c r="Q44" s="1810" t="str">
        <f t="shared" si="11"/>
        <v>内部装修维护情况</v>
      </c>
      <c r="R44" s="774" t="s">
        <v>17</v>
      </c>
      <c r="S44" s="775">
        <f t="shared" si="12"/>
        <v>100</v>
      </c>
      <c r="T44" s="774" t="s">
        <v>17</v>
      </c>
      <c r="U44" s="775">
        <f t="shared" si="13"/>
        <v>100</v>
      </c>
      <c r="V44" s="774" t="s">
        <v>17</v>
      </c>
      <c r="W44" s="775">
        <f t="shared" si="14"/>
        <v>100</v>
      </c>
      <c r="X44" s="1813"/>
      <c r="Y44" s="3240"/>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5">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10">
        <f t="shared" si="11"/>
        <v>111</v>
      </c>
      <c r="R47" s="774" t="s">
        <v>17</v>
      </c>
      <c r="S47" s="775">
        <f t="shared" si="12"/>
        <v>100</v>
      </c>
      <c r="T47" s="774" t="s">
        <v>17</v>
      </c>
      <c r="U47" s="775">
        <f t="shared" si="13"/>
        <v>100</v>
      </c>
      <c r="V47" s="774" t="s">
        <v>17</v>
      </c>
      <c r="W47" s="775">
        <f t="shared" si="14"/>
        <v>100</v>
      </c>
      <c r="X47" s="1813"/>
      <c r="Y47" s="3241"/>
      <c r="Z47" s="1814">
        <f t="shared" si="15"/>
        <v>111</v>
      </c>
      <c r="AA47" s="1811">
        <f t="shared" si="3"/>
        <v>1</v>
      </c>
      <c r="AB47" s="1811">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2693</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4"/>
      <c r="D2" s="1124"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112500.81000000001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2551</v>
      </c>
      <c r="Q15" s="1810" t="str">
        <f t="shared" si="6"/>
        <v>产业集聚程度</v>
      </c>
      <c r="R15" s="774" t="s">
        <v>17</v>
      </c>
      <c r="S15" s="775">
        <f t="shared" si="0"/>
        <v>100</v>
      </c>
      <c r="T15" s="774" t="s">
        <v>17</v>
      </c>
      <c r="U15" s="775">
        <f t="shared" si="1"/>
        <v>100</v>
      </c>
      <c r="V15" s="774" t="s">
        <v>17</v>
      </c>
      <c r="W15" s="775">
        <f t="shared" si="2"/>
        <v>100</v>
      </c>
      <c r="X15" s="1813"/>
      <c r="Y15" s="3235"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36"/>
      <c r="Q18" s="1810"/>
      <c r="R18" s="774"/>
      <c r="S18" s="775"/>
      <c r="T18" s="774"/>
      <c r="U18" s="775"/>
      <c r="V18" s="774"/>
      <c r="W18" s="775"/>
      <c r="X18" s="1813"/>
      <c r="Y18" s="3236"/>
      <c r="Z18" s="1814"/>
      <c r="AA18" s="1811">
        <v>1</v>
      </c>
      <c r="AB18" s="1811">
        <v>1</v>
      </c>
      <c r="AC18" s="1811">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36"/>
      <c r="Q20" s="1810"/>
      <c r="R20" s="774"/>
      <c r="S20" s="775"/>
      <c r="T20" s="774"/>
      <c r="U20" s="775"/>
      <c r="V20" s="774"/>
      <c r="W20" s="775"/>
      <c r="X20" s="1813"/>
      <c r="Y20" s="3236"/>
      <c r="Z20" s="1814"/>
      <c r="AA20" s="1811">
        <v>1</v>
      </c>
      <c r="AB20" s="1811">
        <v>1</v>
      </c>
      <c r="AC20" s="1811">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36"/>
      <c r="Q22" s="1810"/>
      <c r="R22" s="774"/>
      <c r="S22" s="775"/>
      <c r="T22" s="774"/>
      <c r="U22" s="775"/>
      <c r="V22" s="774"/>
      <c r="W22" s="775"/>
      <c r="X22" s="1813"/>
      <c r="Y22" s="3236"/>
      <c r="Z22" s="1814"/>
      <c r="AA22" s="1811">
        <v>1</v>
      </c>
      <c r="AB22" s="1811">
        <v>1</v>
      </c>
      <c r="AC22" s="1811">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36"/>
      <c r="Q24" s="1810"/>
      <c r="R24" s="774"/>
      <c r="S24" s="775"/>
      <c r="T24" s="774"/>
      <c r="U24" s="775"/>
      <c r="V24" s="774"/>
      <c r="W24" s="775"/>
      <c r="X24" s="1813"/>
      <c r="Y24" s="323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10">
        <f>B25</f>
        <v>111</v>
      </c>
      <c r="R25" s="774" t="s">
        <v>17</v>
      </c>
      <c r="S25" s="775">
        <f>F25</f>
        <v>100</v>
      </c>
      <c r="T25" s="774" t="s">
        <v>17</v>
      </c>
      <c r="U25" s="775">
        <f>H25</f>
        <v>100</v>
      </c>
      <c r="V25" s="774" t="s">
        <v>17</v>
      </c>
      <c r="W25" s="775">
        <f>J25</f>
        <v>100</v>
      </c>
      <c r="X25" s="1813"/>
      <c r="Y25" s="323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10">
        <f t="shared" ref="Q26:Q40" si="11">B26</f>
        <v>111</v>
      </c>
      <c r="R26" s="774" t="s">
        <v>17</v>
      </c>
      <c r="S26" s="775">
        <f>F26</f>
        <v>100</v>
      </c>
      <c r="T26" s="774" t="s">
        <v>17</v>
      </c>
      <c r="U26" s="775">
        <f>H26</f>
        <v>100</v>
      </c>
      <c r="V26" s="774" t="s">
        <v>17</v>
      </c>
      <c r="W26" s="775">
        <f>J26</f>
        <v>100</v>
      </c>
      <c r="X26" s="1813"/>
      <c r="Y26" s="323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5">
        <f t="shared" si="11"/>
        <v>111</v>
      </c>
      <c r="R27" s="770" t="s">
        <v>17</v>
      </c>
      <c r="S27" s="771">
        <f>F27</f>
        <v>100</v>
      </c>
      <c r="T27" s="770" t="s">
        <v>17</v>
      </c>
      <c r="U27" s="771">
        <f>H27</f>
        <v>100</v>
      </c>
      <c r="V27" s="770" t="s">
        <v>17</v>
      </c>
      <c r="W27" s="771">
        <f>J27</f>
        <v>100</v>
      </c>
      <c r="X27" s="772"/>
      <c r="Y27" s="323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10">
        <f t="shared" si="11"/>
        <v>111</v>
      </c>
      <c r="R28" s="774" t="s">
        <v>17</v>
      </c>
      <c r="S28" s="775">
        <f t="shared" ref="S28:S40" si="12">F28</f>
        <v>100</v>
      </c>
      <c r="T28" s="774" t="s">
        <v>17</v>
      </c>
      <c r="U28" s="775">
        <f t="shared" ref="U28:U40" si="13">H28</f>
        <v>100</v>
      </c>
      <c r="V28" s="774" t="s">
        <v>17</v>
      </c>
      <c r="W28" s="775">
        <f t="shared" ref="W28:W40" si="14">J28</f>
        <v>100</v>
      </c>
      <c r="X28" s="1813"/>
      <c r="Y28" s="3236"/>
      <c r="Z28" s="1814">
        <f t="shared" ref="Z28:Z40" si="15">Q28</f>
        <v>111</v>
      </c>
      <c r="AA28" s="1811">
        <f t="shared" si="3"/>
        <v>1</v>
      </c>
      <c r="AB28" s="1811">
        <f t="shared" si="4"/>
        <v>1</v>
      </c>
      <c r="AC28" s="1811">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9" t="s">
        <v>2556</v>
      </c>
      <c r="Q29" s="1810" t="str">
        <f t="shared" si="11"/>
        <v>建筑类型</v>
      </c>
      <c r="R29" s="774" t="s">
        <v>17</v>
      </c>
      <c r="S29" s="775">
        <f t="shared" si="12"/>
        <v>100</v>
      </c>
      <c r="T29" s="774" t="s">
        <v>17</v>
      </c>
      <c r="U29" s="775">
        <f t="shared" si="13"/>
        <v>100</v>
      </c>
      <c r="V29" s="774" t="s">
        <v>17</v>
      </c>
      <c r="W29" s="775">
        <f t="shared" si="14"/>
        <v>100</v>
      </c>
      <c r="X29" s="1813"/>
      <c r="Y29" s="3240"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10" t="str">
        <f t="shared" si="11"/>
        <v>建筑结构</v>
      </c>
      <c r="R31" s="774" t="s">
        <v>17</v>
      </c>
      <c r="S31" s="775">
        <f t="shared" si="12"/>
        <v>100</v>
      </c>
      <c r="T31" s="774" t="s">
        <v>17</v>
      </c>
      <c r="U31" s="775">
        <f t="shared" si="13"/>
        <v>100</v>
      </c>
      <c r="V31" s="774" t="s">
        <v>17</v>
      </c>
      <c r="W31" s="775">
        <f t="shared" si="14"/>
        <v>100</v>
      </c>
      <c r="X31" s="1813"/>
      <c r="Y31" s="3240"/>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10" t="str">
        <f t="shared" si="11"/>
        <v>公共部分装修</v>
      </c>
      <c r="R32" s="774" t="s">
        <v>17</v>
      </c>
      <c r="S32" s="775">
        <f t="shared" si="12"/>
        <v>100</v>
      </c>
      <c r="T32" s="774" t="s">
        <v>17</v>
      </c>
      <c r="U32" s="775">
        <f t="shared" si="13"/>
        <v>100</v>
      </c>
      <c r="V32" s="774" t="s">
        <v>17</v>
      </c>
      <c r="W32" s="775">
        <f t="shared" si="14"/>
        <v>100</v>
      </c>
      <c r="X32" s="1813"/>
      <c r="Y32" s="3240"/>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10" t="str">
        <f t="shared" si="11"/>
        <v>成新度</v>
      </c>
      <c r="R33" s="774" t="s">
        <v>17</v>
      </c>
      <c r="S33" s="775" t="e">
        <f t="shared" si="12"/>
        <v>#N/A</v>
      </c>
      <c r="T33" s="774" t="s">
        <v>17</v>
      </c>
      <c r="U33" s="775" t="e">
        <f t="shared" si="13"/>
        <v>#N/A</v>
      </c>
      <c r="V33" s="774" t="s">
        <v>17</v>
      </c>
      <c r="W33" s="775" t="e">
        <f t="shared" si="14"/>
        <v>#N/A</v>
      </c>
      <c r="X33" s="1813"/>
      <c r="Y33" s="3240"/>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5"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2556</v>
      </c>
      <c r="Q35" s="1810" t="str">
        <f t="shared" si="11"/>
        <v>市政基础设施</v>
      </c>
      <c r="R35" s="774" t="s">
        <v>17</v>
      </c>
      <c r="S35" s="775">
        <f t="shared" si="12"/>
        <v>100</v>
      </c>
      <c r="T35" s="774" t="s">
        <v>17</v>
      </c>
      <c r="U35" s="775">
        <f t="shared" si="13"/>
        <v>100</v>
      </c>
      <c r="V35" s="774" t="s">
        <v>17</v>
      </c>
      <c r="W35" s="775">
        <f t="shared" si="14"/>
        <v>100</v>
      </c>
      <c r="X35" s="1813"/>
      <c r="Y35" s="3240"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10" t="str">
        <f t="shared" si="11"/>
        <v>内部装修</v>
      </c>
      <c r="R36" s="774" t="s">
        <v>17</v>
      </c>
      <c r="S36" s="775">
        <f t="shared" si="12"/>
        <v>100</v>
      </c>
      <c r="T36" s="774" t="s">
        <v>17</v>
      </c>
      <c r="U36" s="775">
        <f t="shared" si="13"/>
        <v>100</v>
      </c>
      <c r="V36" s="774" t="s">
        <v>17</v>
      </c>
      <c r="W36" s="775">
        <f t="shared" si="14"/>
        <v>100</v>
      </c>
      <c r="X36" s="1813"/>
      <c r="Y36" s="3240"/>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10" t="str">
        <f t="shared" si="11"/>
        <v>内部装修状况</v>
      </c>
      <c r="R37" s="774" t="s">
        <v>17</v>
      </c>
      <c r="S37" s="775">
        <f t="shared" si="12"/>
        <v>100</v>
      </c>
      <c r="T37" s="774" t="s">
        <v>17</v>
      </c>
      <c r="U37" s="775">
        <f t="shared" si="13"/>
        <v>100</v>
      </c>
      <c r="V37" s="774" t="s">
        <v>17</v>
      </c>
      <c r="W37" s="775">
        <f t="shared" si="14"/>
        <v>100</v>
      </c>
      <c r="X37" s="1813"/>
      <c r="Y37" s="324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10">
        <f t="shared" si="11"/>
        <v>111</v>
      </c>
      <c r="R39" s="774" t="s">
        <v>17</v>
      </c>
      <c r="S39" s="775">
        <f t="shared" si="12"/>
        <v>100</v>
      </c>
      <c r="T39" s="774" t="s">
        <v>17</v>
      </c>
      <c r="U39" s="775">
        <f t="shared" si="13"/>
        <v>100</v>
      </c>
      <c r="V39" s="774" t="s">
        <v>17</v>
      </c>
      <c r="W39" s="775">
        <f t="shared" si="14"/>
        <v>100</v>
      </c>
      <c r="X39" s="1813"/>
      <c r="Y39" s="3240"/>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10">
        <f t="shared" si="11"/>
        <v>111</v>
      </c>
      <c r="R40" s="774" t="s">
        <v>17</v>
      </c>
      <c r="S40" s="775">
        <f t="shared" si="12"/>
        <v>100</v>
      </c>
      <c r="T40" s="774" t="s">
        <v>17</v>
      </c>
      <c r="U40" s="775">
        <f t="shared" si="13"/>
        <v>100</v>
      </c>
      <c r="V40" s="774" t="s">
        <v>17</v>
      </c>
      <c r="W40" s="775">
        <f t="shared" si="14"/>
        <v>100</v>
      </c>
      <c r="X40" s="1813"/>
      <c r="Y40" s="3241"/>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2"/>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2540</v>
      </c>
      <c r="Q7" s="3229"/>
      <c r="R7" s="770" t="s">
        <v>17</v>
      </c>
      <c r="S7" s="771">
        <f t="shared" ref="S7:S14" si="0">F7</f>
        <v>0</v>
      </c>
      <c r="T7" s="770" t="s">
        <v>17</v>
      </c>
      <c r="U7" s="771">
        <f t="shared" ref="U7:U14" si="1">H7</f>
        <v>0</v>
      </c>
      <c r="V7" s="770" t="s">
        <v>17</v>
      </c>
      <c r="W7" s="771">
        <f t="shared" ref="W7:W14"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2546</v>
      </c>
      <c r="Q9" s="1795" t="str">
        <f t="shared" ref="Q9:Q14" si="6">B9</f>
        <v>用途</v>
      </c>
      <c r="R9" s="770" t="s">
        <v>17</v>
      </c>
      <c r="S9" s="771">
        <f t="shared" si="0"/>
        <v>100</v>
      </c>
      <c r="T9" s="770" t="s">
        <v>17</v>
      </c>
      <c r="U9" s="771">
        <f t="shared" si="1"/>
        <v>100</v>
      </c>
      <c r="V9" s="770" t="s">
        <v>17</v>
      </c>
      <c r="W9" s="771">
        <f t="shared" si="2"/>
        <v>100</v>
      </c>
      <c r="X9" s="772"/>
      <c r="Y9" s="303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71.25">
      <c r="A14" s="401" t="s">
        <v>2550</v>
      </c>
      <c r="B14" s="629" t="s">
        <v>2700</v>
      </c>
      <c r="C14" s="2691" t="str">
        <f>IF(B1="工业",估价对象房地状况!G4,估价对象房地状况!C6)</f>
        <v>周边有821等多条公交线路，北侧1.8km有南六环综合评价交通便捷度较差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2551</v>
      </c>
      <c r="Q14" s="1810" t="str">
        <f t="shared" si="6"/>
        <v>交通便捷度</v>
      </c>
      <c r="R14" s="774" t="s">
        <v>17</v>
      </c>
      <c r="S14" s="775">
        <f t="shared" si="0"/>
        <v>100</v>
      </c>
      <c r="T14" s="774" t="s">
        <v>17</v>
      </c>
      <c r="U14" s="775">
        <f t="shared" si="1"/>
        <v>100</v>
      </c>
      <c r="V14" s="774" t="s">
        <v>17</v>
      </c>
      <c r="W14" s="775">
        <f t="shared" si="2"/>
        <v>100</v>
      </c>
      <c r="X14" s="1813"/>
      <c r="Y14" s="3235"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6"/>
      <c r="Q15" s="1810"/>
      <c r="R15" s="774"/>
      <c r="S15" s="775"/>
      <c r="T15" s="774"/>
      <c r="U15" s="775"/>
      <c r="V15" s="774"/>
      <c r="W15" s="775"/>
      <c r="X15" s="1813"/>
      <c r="Y15" s="3236"/>
      <c r="Z15" s="1814"/>
      <c r="AA15" s="1811">
        <v>1</v>
      </c>
      <c r="AB15" s="1811">
        <v>1</v>
      </c>
      <c r="AC15" s="1811">
        <v>1</v>
      </c>
    </row>
    <row r="16" spans="1:29" ht="99.75">
      <c r="A16" s="404"/>
      <c r="B16" s="631" t="s">
        <v>2679</v>
      </c>
      <c r="C16" s="2605" t="str">
        <f>IF(B1="工业",估价对象房地状况!G5,估价对象房地状况!C7)</f>
        <v>估价对象所在区域公共配套设施（超市：永辉超市(合生世界村店)、学校：海贝儿国际幼儿园）齐备度较差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36"/>
      <c r="Q17" s="1810"/>
      <c r="R17" s="774"/>
      <c r="S17" s="775"/>
      <c r="T17" s="774"/>
      <c r="U17" s="775"/>
      <c r="V17" s="774"/>
      <c r="W17" s="775"/>
      <c r="X17" s="1813"/>
      <c r="Y17" s="3236"/>
      <c r="Z17" s="1814"/>
      <c r="AA17" s="1811">
        <v>1</v>
      </c>
      <c r="AB17" s="1811">
        <v>1</v>
      </c>
      <c r="AC17" s="1811">
        <v>1</v>
      </c>
    </row>
    <row r="18" spans="1:29" ht="42.75">
      <c r="A18" s="404"/>
      <c r="B18" s="633" t="s">
        <v>2680</v>
      </c>
      <c r="C18" s="2605" t="str">
        <f>IF(B1="工业",估价对象房地状况!G6,估价对象房地状况!C8)</f>
        <v>估价对象所在区域基础设施水平六通一平；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36"/>
      <c r="Q19" s="1810"/>
      <c r="R19" s="774"/>
      <c r="S19" s="775"/>
      <c r="T19" s="774"/>
      <c r="U19" s="775"/>
      <c r="V19" s="774"/>
      <c r="W19" s="775"/>
      <c r="X19" s="1813"/>
      <c r="Y19" s="3236"/>
      <c r="Z19" s="1814"/>
      <c r="AA19" s="1811">
        <v>1</v>
      </c>
      <c r="AB19" s="1811">
        <v>1</v>
      </c>
      <c r="AC19" s="1811">
        <v>1</v>
      </c>
    </row>
    <row r="20" spans="1:29" ht="57">
      <c r="A20" s="404"/>
      <c r="B20" s="631" t="s">
        <v>2701</v>
      </c>
      <c r="C20" s="2605" t="str">
        <f>IF(B1="工业",估价对象房地状况!G7,估价对象房地状况!C9)</f>
        <v>区域自然环境：凉水河；人文环境无；综合评价环境状况一般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6"/>
      <c r="Q21" s="1810"/>
      <c r="R21" s="774"/>
      <c r="S21" s="775"/>
      <c r="T21" s="774"/>
      <c r="U21" s="775"/>
      <c r="V21" s="774"/>
      <c r="W21" s="775"/>
      <c r="X21" s="1813"/>
      <c r="Y21" s="3236"/>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10">
        <f t="shared" ref="Q24:Q36"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1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0"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10" t="str">
        <f t="shared" si="11"/>
        <v>公共部分装修</v>
      </c>
      <c r="R28" s="774" t="s">
        <v>17</v>
      </c>
      <c r="S28" s="775">
        <f t="shared" si="12"/>
        <v>100</v>
      </c>
      <c r="T28" s="774" t="s">
        <v>17</v>
      </c>
      <c r="U28" s="775">
        <f t="shared" si="13"/>
        <v>100</v>
      </c>
      <c r="V28" s="774" t="s">
        <v>17</v>
      </c>
      <c r="W28" s="775">
        <f t="shared" si="14"/>
        <v>100</v>
      </c>
      <c r="X28" s="1813"/>
      <c r="Y28" s="3240"/>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10" t="str">
        <f t="shared" si="11"/>
        <v>成新率</v>
      </c>
      <c r="R29" s="774" t="s">
        <v>17</v>
      </c>
      <c r="S29" s="775" t="e">
        <f t="shared" si="12"/>
        <v>#N/A</v>
      </c>
      <c r="T29" s="774" t="s">
        <v>17</v>
      </c>
      <c r="U29" s="775" t="e">
        <f t="shared" si="13"/>
        <v>#N/A</v>
      </c>
      <c r="V29" s="774" t="s">
        <v>17</v>
      </c>
      <c r="W29" s="775" t="e">
        <f t="shared" si="14"/>
        <v>#N/A</v>
      </c>
      <c r="X29" s="1813"/>
      <c r="Y29" s="3240"/>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10" t="str">
        <f t="shared" si="11"/>
        <v>物业等级</v>
      </c>
      <c r="R30" s="774" t="s">
        <v>17</v>
      </c>
      <c r="S30" s="775">
        <f t="shared" si="12"/>
        <v>100</v>
      </c>
      <c r="T30" s="774" t="s">
        <v>17</v>
      </c>
      <c r="U30" s="775">
        <f t="shared" si="13"/>
        <v>100</v>
      </c>
      <c r="V30" s="774" t="s">
        <v>17</v>
      </c>
      <c r="W30" s="775">
        <f t="shared" si="14"/>
        <v>100</v>
      </c>
      <c r="X30" s="1813"/>
      <c r="Y30" s="3240"/>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5"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2556</v>
      </c>
      <c r="Q32" s="1810" t="str">
        <f t="shared" si="11"/>
        <v>车位类型</v>
      </c>
      <c r="R32" s="774" t="s">
        <v>17</v>
      </c>
      <c r="S32" s="775">
        <f t="shared" si="12"/>
        <v>100</v>
      </c>
      <c r="T32" s="774" t="s">
        <v>17</v>
      </c>
      <c r="U32" s="775">
        <f t="shared" si="13"/>
        <v>100</v>
      </c>
      <c r="V32" s="774" t="s">
        <v>17</v>
      </c>
      <c r="W32" s="775">
        <f t="shared" si="14"/>
        <v>100</v>
      </c>
      <c r="X32" s="1813"/>
      <c r="Y32" s="3240"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10" t="str">
        <f t="shared" si="11"/>
        <v>是否直接入户</v>
      </c>
      <c r="R33" s="774" t="s">
        <v>17</v>
      </c>
      <c r="S33" s="775">
        <f t="shared" si="12"/>
        <v>100</v>
      </c>
      <c r="T33" s="774" t="s">
        <v>17</v>
      </c>
      <c r="U33" s="775">
        <f t="shared" si="13"/>
        <v>100</v>
      </c>
      <c r="V33" s="774" t="s">
        <v>17</v>
      </c>
      <c r="W33" s="775">
        <f t="shared" si="14"/>
        <v>100</v>
      </c>
      <c r="X33" s="1813"/>
      <c r="Y33" s="32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10">
        <f t="shared" si="11"/>
        <v>111</v>
      </c>
      <c r="R36" s="774" t="s">
        <v>17</v>
      </c>
      <c r="S36" s="775">
        <f t="shared" si="12"/>
        <v>100</v>
      </c>
      <c r="T36" s="774" t="s">
        <v>17</v>
      </c>
      <c r="U36" s="775">
        <f t="shared" si="13"/>
        <v>100</v>
      </c>
      <c r="V36" s="774" t="s">
        <v>17</v>
      </c>
      <c r="W36" s="775">
        <f t="shared" si="14"/>
        <v>100</v>
      </c>
      <c r="X36" s="1813"/>
      <c r="Y36" s="3240"/>
      <c r="Z36" s="1814">
        <f t="shared" si="15"/>
        <v>111</v>
      </c>
      <c r="AA36" s="1811">
        <f t="shared" si="3"/>
        <v>1</v>
      </c>
      <c r="AB36" s="1811">
        <f t="shared" si="4"/>
        <v>1</v>
      </c>
      <c r="AC36" s="1811">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1" t="s">
        <v>2540</v>
      </c>
      <c r="Q7" s="3229"/>
      <c r="R7" s="770" t="s">
        <v>17</v>
      </c>
      <c r="S7" s="771">
        <f t="shared" ref="S7:S14" si="0">F7</f>
        <v>0</v>
      </c>
      <c r="T7" s="770" t="s">
        <v>17</v>
      </c>
      <c r="U7" s="771">
        <f t="shared" ref="U7:U14" si="1">H7</f>
        <v>0</v>
      </c>
      <c r="V7" s="770" t="s">
        <v>17</v>
      </c>
      <c r="W7" s="771">
        <f t="shared" ref="W7:W14"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2546</v>
      </c>
      <c r="Q9" s="1795" t="str">
        <f t="shared" ref="Q9:Q14" si="6">B9</f>
        <v>用途</v>
      </c>
      <c r="R9" s="770" t="s">
        <v>17</v>
      </c>
      <c r="S9" s="771">
        <f t="shared" si="0"/>
        <v>100</v>
      </c>
      <c r="T9" s="770" t="s">
        <v>17</v>
      </c>
      <c r="U9" s="771">
        <f t="shared" si="1"/>
        <v>100</v>
      </c>
      <c r="V9" s="770" t="s">
        <v>17</v>
      </c>
      <c r="W9" s="771">
        <f t="shared" si="2"/>
        <v>100</v>
      </c>
      <c r="X9" s="772"/>
      <c r="Y9" s="303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71.25">
      <c r="A14" s="440" t="s">
        <v>2550</v>
      </c>
      <c r="B14" s="69" t="s">
        <v>2700</v>
      </c>
      <c r="C14" s="2691" t="str">
        <f>IF(B1="工业",估价对象房地状况!G4,估价对象房地状况!C6)</f>
        <v>周边有821等多条公交线路，北侧1.8km有南六环综合评价交通便捷度较差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2551</v>
      </c>
      <c r="Q14" s="1810" t="str">
        <f t="shared" si="6"/>
        <v>交通便捷度</v>
      </c>
      <c r="R14" s="774" t="s">
        <v>17</v>
      </c>
      <c r="S14" s="775">
        <f t="shared" si="0"/>
        <v>100</v>
      </c>
      <c r="T14" s="774" t="s">
        <v>17</v>
      </c>
      <c r="U14" s="775">
        <f t="shared" si="1"/>
        <v>100</v>
      </c>
      <c r="V14" s="774" t="s">
        <v>17</v>
      </c>
      <c r="W14" s="775">
        <f t="shared" si="2"/>
        <v>100</v>
      </c>
      <c r="X14" s="1813"/>
      <c r="Y14" s="3235"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6"/>
      <c r="Q15" s="1810"/>
      <c r="R15" s="774"/>
      <c r="S15" s="775"/>
      <c r="T15" s="774"/>
      <c r="U15" s="775"/>
      <c r="V15" s="774"/>
      <c r="W15" s="775"/>
      <c r="X15" s="1813"/>
      <c r="Y15" s="3236"/>
      <c r="Z15" s="1814"/>
      <c r="AA15" s="1811">
        <v>1</v>
      </c>
      <c r="AB15" s="1811">
        <v>1</v>
      </c>
      <c r="AC15" s="1811">
        <v>1</v>
      </c>
    </row>
    <row r="16" spans="1:29" ht="99.75">
      <c r="A16" s="428"/>
      <c r="B16" s="451" t="s">
        <v>2679</v>
      </c>
      <c r="C16" s="2605" t="str">
        <f>IF(B1="工业",估价对象房地状况!G5,估价对象房地状况!C7)</f>
        <v>估价对象所在区域公共配套设施（超市：永辉超市(合生世界村店)、学校：海贝儿国际幼儿园）齐备度较差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36"/>
      <c r="Q17" s="1810"/>
      <c r="R17" s="774"/>
      <c r="S17" s="775"/>
      <c r="T17" s="774"/>
      <c r="U17" s="775"/>
      <c r="V17" s="774"/>
      <c r="W17" s="775"/>
      <c r="X17" s="1813"/>
      <c r="Y17" s="3236"/>
      <c r="Z17" s="1814"/>
      <c r="AA17" s="1811">
        <v>1</v>
      </c>
      <c r="AB17" s="1811">
        <v>1</v>
      </c>
      <c r="AC17" s="1811">
        <v>1</v>
      </c>
    </row>
    <row r="18" spans="1:29" ht="42.75">
      <c r="A18" s="428"/>
      <c r="B18" s="1384" t="s">
        <v>2680</v>
      </c>
      <c r="C18" s="2605" t="str">
        <f>IF(B1="工业",估价对象房地状况!G6,估价对象房地状况!C8)</f>
        <v>估价对象所在区域基础设施水平六通一平；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36"/>
      <c r="Q19" s="1810"/>
      <c r="R19" s="774"/>
      <c r="S19" s="775"/>
      <c r="T19" s="774"/>
      <c r="U19" s="775"/>
      <c r="V19" s="774"/>
      <c r="W19" s="775"/>
      <c r="X19" s="1813"/>
      <c r="Y19" s="3236"/>
      <c r="Z19" s="1814"/>
      <c r="AA19" s="1811">
        <v>1</v>
      </c>
      <c r="AB19" s="1811">
        <v>1</v>
      </c>
      <c r="AC19" s="1811">
        <v>1</v>
      </c>
    </row>
    <row r="20" spans="1:29" ht="57">
      <c r="A20" s="428"/>
      <c r="B20" s="451" t="s">
        <v>2701</v>
      </c>
      <c r="C20" s="2605" t="str">
        <f>IF(B1="工业",估价对象房地状况!G7,估价对象房地状况!C9)</f>
        <v>区域自然环境：凉水河；人文环境无；综合评价环境状况一般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6"/>
      <c r="Q21" s="1810"/>
      <c r="R21" s="774"/>
      <c r="S21" s="775"/>
      <c r="T21" s="774"/>
      <c r="U21" s="775"/>
      <c r="V21" s="774"/>
      <c r="W21" s="775"/>
      <c r="X21" s="1813"/>
      <c r="Y21" s="3236"/>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10">
        <f t="shared" ref="Q24:Q34"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9"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0"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10" t="str">
        <f t="shared" si="11"/>
        <v>物业等级</v>
      </c>
      <c r="R28" s="774" t="s">
        <v>17</v>
      </c>
      <c r="S28" s="775">
        <f t="shared" si="12"/>
        <v>100</v>
      </c>
      <c r="T28" s="774" t="s">
        <v>17</v>
      </c>
      <c r="U28" s="775">
        <f t="shared" si="13"/>
        <v>100</v>
      </c>
      <c r="V28" s="774" t="s">
        <v>17</v>
      </c>
      <c r="W28" s="775">
        <f t="shared" si="14"/>
        <v>100</v>
      </c>
      <c r="X28" s="1813"/>
      <c r="Y28" s="3240"/>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10" t="str">
        <f t="shared" si="11"/>
        <v>有无电梯</v>
      </c>
      <c r="R29" s="774" t="s">
        <v>17</v>
      </c>
      <c r="S29" s="775">
        <f t="shared" si="12"/>
        <v>100</v>
      </c>
      <c r="T29" s="774" t="s">
        <v>17</v>
      </c>
      <c r="U29" s="775">
        <f t="shared" si="13"/>
        <v>100</v>
      </c>
      <c r="V29" s="774" t="s">
        <v>17</v>
      </c>
      <c r="W29" s="775">
        <f t="shared" si="14"/>
        <v>100</v>
      </c>
      <c r="X29" s="1813"/>
      <c r="Y29" s="3240"/>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10" t="str">
        <f t="shared" si="11"/>
        <v>建筑面积</v>
      </c>
      <c r="R30" s="774" t="s">
        <v>17</v>
      </c>
      <c r="S30" s="775" t="e">
        <f t="shared" si="12"/>
        <v>#N/A</v>
      </c>
      <c r="T30" s="774" t="s">
        <v>17</v>
      </c>
      <c r="U30" s="775" t="e">
        <f t="shared" si="13"/>
        <v>#N/A</v>
      </c>
      <c r="V30" s="774" t="s">
        <v>17</v>
      </c>
      <c r="W30" s="775" t="e">
        <f t="shared" si="14"/>
        <v>#N/A</v>
      </c>
      <c r="X30" s="1813"/>
      <c r="Y30" s="3240"/>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5"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2556</v>
      </c>
      <c r="Q32" s="1810">
        <f t="shared" si="11"/>
        <v>111</v>
      </c>
      <c r="R32" s="774" t="s">
        <v>17</v>
      </c>
      <c r="S32" s="775">
        <f t="shared" si="12"/>
        <v>100</v>
      </c>
      <c r="T32" s="774" t="s">
        <v>17</v>
      </c>
      <c r="U32" s="775">
        <f t="shared" si="13"/>
        <v>100</v>
      </c>
      <c r="V32" s="774" t="s">
        <v>17</v>
      </c>
      <c r="W32" s="775">
        <f t="shared" si="14"/>
        <v>100</v>
      </c>
      <c r="X32" s="1813"/>
      <c r="Y32" s="3240" t="s">
        <v>2556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10">
        <f t="shared" si="11"/>
        <v>111</v>
      </c>
      <c r="R33" s="774" t="s">
        <v>17</v>
      </c>
      <c r="S33" s="775">
        <f t="shared" si="12"/>
        <v>100</v>
      </c>
      <c r="T33" s="774" t="s">
        <v>17</v>
      </c>
      <c r="U33" s="775">
        <f t="shared" si="13"/>
        <v>100</v>
      </c>
      <c r="V33" s="774" t="s">
        <v>17</v>
      </c>
      <c r="W33" s="775">
        <f t="shared" si="14"/>
        <v>100</v>
      </c>
      <c r="X33" s="1813"/>
      <c r="Y33" s="3240"/>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30"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30"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30" s="117" customFormat="1" ht="15.75" thickBot="1">
      <c r="A7" s="408" t="s">
        <v>2539</v>
      </c>
      <c r="B7" s="409"/>
      <c r="C7" s="410">
        <f>'数据-取费表'!B2</f>
        <v>43439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33"/>
      <c r="Q10" s="1795"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5">
      <c r="A15" s="440" t="s">
        <v>2550</v>
      </c>
      <c r="B15" s="69" t="s">
        <v>2081</v>
      </c>
      <c r="C15" s="2601"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2551</v>
      </c>
      <c r="Q15" s="1810" t="str">
        <f t="shared" si="6"/>
        <v>居住社区成熟度</v>
      </c>
      <c r="R15" s="774" t="s">
        <v>17</v>
      </c>
      <c r="S15" s="775">
        <f t="shared" si="0"/>
        <v>100</v>
      </c>
      <c r="T15" s="774" t="s">
        <v>17</v>
      </c>
      <c r="U15" s="775">
        <f t="shared" si="1"/>
        <v>100</v>
      </c>
      <c r="V15" s="774" t="s">
        <v>17</v>
      </c>
      <c r="W15" s="775">
        <f t="shared" si="2"/>
        <v>100</v>
      </c>
      <c r="X15" s="1813"/>
      <c r="Y15" s="3235" t="s">
        <v>2551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15">
      <c r="A17" s="428"/>
      <c r="B17" s="451" t="s">
        <v>2644</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10" t="str">
        <f>B17</f>
        <v>商业繁华度</v>
      </c>
      <c r="R17" s="774" t="s">
        <v>17</v>
      </c>
      <c r="S17" s="775">
        <f>F17</f>
        <v>100</v>
      </c>
      <c r="T17" s="774" t="s">
        <v>17</v>
      </c>
      <c r="U17" s="775">
        <f>H17</f>
        <v>100</v>
      </c>
      <c r="V17" s="774" t="s">
        <v>17</v>
      </c>
      <c r="W17" s="775">
        <f>J17</f>
        <v>100</v>
      </c>
      <c r="X17" s="1813"/>
      <c r="Y17" s="3236"/>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99.75">
      <c r="A19" s="428"/>
      <c r="B19" s="451" t="s">
        <v>2678</v>
      </c>
      <c r="C19" s="2662" t="str">
        <f>估价对象房地状况!C17</f>
        <v>估价对象位于国家环保产业园，周边办公楼项目较少，联动U谷，入驻率低，综合评价办公集聚程度较差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10" t="str">
        <f>B19</f>
        <v>办公集聚程度</v>
      </c>
      <c r="R19" s="774" t="s">
        <v>17</v>
      </c>
      <c r="S19" s="775">
        <f>F19</f>
        <v>100</v>
      </c>
      <c r="T19" s="774" t="s">
        <v>17</v>
      </c>
      <c r="U19" s="775">
        <f>H19</f>
        <v>100</v>
      </c>
      <c r="V19" s="774" t="s">
        <v>17</v>
      </c>
      <c r="W19" s="775">
        <f>J19</f>
        <v>100</v>
      </c>
      <c r="X19" s="1813"/>
      <c r="Y19" s="3236"/>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36"/>
      <c r="Q20" s="1810"/>
      <c r="R20" s="774"/>
      <c r="S20" s="775"/>
      <c r="T20" s="774"/>
      <c r="U20" s="775"/>
      <c r="V20" s="774"/>
      <c r="W20" s="775"/>
      <c r="X20" s="1813"/>
      <c r="Y20" s="3236"/>
      <c r="Z20" s="1814"/>
      <c r="AA20" s="1811">
        <v>1</v>
      </c>
      <c r="AB20" s="1811">
        <v>1</v>
      </c>
      <c r="AC20" s="1811">
        <v>1</v>
      </c>
    </row>
    <row r="21" spans="1:29" ht="71.25">
      <c r="A21" s="428"/>
      <c r="B21" s="451" t="s">
        <v>2700</v>
      </c>
      <c r="C21" s="2605" t="str">
        <f>估价对象房地状况!C18</f>
        <v>周边有821等多条公交线路，北侧1.8km有南六环综合评价交通便捷度较差</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10" t="str">
        <f>B21</f>
        <v>交通便捷度</v>
      </c>
      <c r="R21" s="774" t="s">
        <v>17</v>
      </c>
      <c r="S21" s="775">
        <f>F21</f>
        <v>100</v>
      </c>
      <c r="T21" s="774" t="s">
        <v>17</v>
      </c>
      <c r="U21" s="775">
        <f>H21</f>
        <v>100</v>
      </c>
      <c r="V21" s="774" t="s">
        <v>17</v>
      </c>
      <c r="W21" s="775">
        <f>J21</f>
        <v>100</v>
      </c>
      <c r="X21" s="1813"/>
      <c r="Y21" s="3236"/>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ht="42.75">
      <c r="A23" s="404"/>
      <c r="B23" s="451" t="s">
        <v>2739</v>
      </c>
      <c r="C23" s="1389" t="str">
        <f>估价对象房地状况!C19</f>
        <v>有部分住宅用地，区域土地利用方向基本一致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10" t="str">
        <f t="shared" ref="Q23:Q37" si="8">B23</f>
        <v>区域土地利用方向</v>
      </c>
      <c r="R23" s="774" t="s">
        <v>17</v>
      </c>
      <c r="S23" s="775">
        <f>F23</f>
        <v>100</v>
      </c>
      <c r="T23" s="774" t="s">
        <v>17</v>
      </c>
      <c r="U23" s="775">
        <f>H23</f>
        <v>100</v>
      </c>
      <c r="V23" s="774" t="s">
        <v>17</v>
      </c>
      <c r="W23" s="775">
        <f>J23</f>
        <v>100</v>
      </c>
      <c r="X23" s="1813"/>
      <c r="Y23" s="3236"/>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09"/>
      <c r="L24" s="1140"/>
      <c r="M24" s="1131"/>
      <c r="N24" s="1131"/>
      <c r="O24" s="1139"/>
      <c r="P24" s="3236"/>
      <c r="Q24" s="1810"/>
      <c r="R24" s="774"/>
      <c r="S24" s="775"/>
      <c r="T24" s="774"/>
      <c r="U24" s="775"/>
      <c r="V24" s="774"/>
      <c r="W24" s="775"/>
      <c r="X24" s="1813"/>
      <c r="Y24" s="3236"/>
      <c r="Z24" s="1814"/>
      <c r="AA24" s="1811"/>
      <c r="AB24" s="1811"/>
      <c r="AC24" s="1811"/>
    </row>
    <row r="25" spans="1:29" ht="57">
      <c r="A25" s="404"/>
      <c r="B25" s="1384" t="s">
        <v>2740</v>
      </c>
      <c r="C25" s="2662" t="str">
        <f>估价对象房地状况!C20</f>
        <v>区域自然环境：凉水河；人文环境无；综合评价环境状况一般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10" t="str">
        <f t="shared" si="8"/>
        <v>自然及人文环境状况</v>
      </c>
      <c r="R25" s="774" t="s">
        <v>17</v>
      </c>
      <c r="S25" s="775">
        <f>F25</f>
        <v>100</v>
      </c>
      <c r="T25" s="774" t="s">
        <v>17</v>
      </c>
      <c r="U25" s="775">
        <f>H25</f>
        <v>100</v>
      </c>
      <c r="V25" s="774" t="s">
        <v>17</v>
      </c>
      <c r="W25" s="775">
        <f>J25</f>
        <v>100</v>
      </c>
      <c r="X25" s="1813"/>
      <c r="Y25" s="3236"/>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36"/>
      <c r="Q26" s="1810"/>
      <c r="R26" s="774"/>
      <c r="S26" s="775"/>
      <c r="T26" s="774"/>
      <c r="U26" s="775"/>
      <c r="V26" s="774"/>
      <c r="W26" s="775"/>
      <c r="X26" s="1813"/>
      <c r="Y26" s="3236"/>
      <c r="Z26" s="1814"/>
      <c r="AA26" s="1811">
        <v>1</v>
      </c>
      <c r="AB26" s="1811">
        <v>1</v>
      </c>
      <c r="AC26" s="1811">
        <v>1</v>
      </c>
    </row>
    <row r="27" spans="1:29" s="117" customFormat="1" ht="99.75">
      <c r="A27" s="649"/>
      <c r="B27" s="1384" t="s">
        <v>2645</v>
      </c>
      <c r="C27" s="2605" t="str">
        <f>估价对象房地状况!C21</f>
        <v>估价对象所在区域公共配套设施（超市：永辉超市(合生世界村店)、学校：海贝儿国际幼儿园）齐备度较差</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5" t="str">
        <f t="shared" si="8"/>
        <v>公共配套设施</v>
      </c>
      <c r="R27" s="770" t="s">
        <v>17</v>
      </c>
      <c r="S27" s="771">
        <f>F27</f>
        <v>100</v>
      </c>
      <c r="T27" s="770" t="s">
        <v>17</v>
      </c>
      <c r="U27" s="771">
        <f>H27</f>
        <v>100</v>
      </c>
      <c r="V27" s="770" t="s">
        <v>17</v>
      </c>
      <c r="W27" s="771">
        <f>J27</f>
        <v>100</v>
      </c>
      <c r="X27" s="772"/>
      <c r="Y27" s="3236"/>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36"/>
      <c r="Q28" s="1795"/>
      <c r="R28" s="770"/>
      <c r="S28" s="771"/>
      <c r="T28" s="770"/>
      <c r="U28" s="771"/>
      <c r="V28" s="770"/>
      <c r="W28" s="771"/>
      <c r="X28" s="772"/>
      <c r="Y28" s="3236"/>
      <c r="Z28" s="55"/>
      <c r="AA28" s="1811">
        <v>1</v>
      </c>
      <c r="AB28" s="1811">
        <v>1</v>
      </c>
      <c r="AC28" s="1811">
        <v>1</v>
      </c>
    </row>
    <row r="29" spans="1:29" s="117" customFormat="1" ht="42.75">
      <c r="A29" s="649"/>
      <c r="B29" s="1384" t="s">
        <v>2646</v>
      </c>
      <c r="C29" s="2605" t="str">
        <f>估价对象房地状况!C22</f>
        <v>估价对象所在区域基础设施水平六通一平；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5"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6"/>
      <c r="Q30" s="1795"/>
      <c r="R30" s="770"/>
      <c r="S30" s="771"/>
      <c r="T30" s="770"/>
      <c r="U30" s="771"/>
      <c r="V30" s="770"/>
      <c r="W30" s="771"/>
      <c r="X30" s="772"/>
      <c r="Y30" s="3236"/>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6"/>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10" t="str">
        <f t="shared" si="8"/>
        <v>毗邻道路的类型与等级</v>
      </c>
      <c r="R32" s="774" t="s">
        <v>17</v>
      </c>
      <c r="S32" s="775">
        <f t="shared" si="10"/>
        <v>100</v>
      </c>
      <c r="T32" s="774" t="s">
        <v>17</v>
      </c>
      <c r="U32" s="775">
        <f t="shared" si="11"/>
        <v>100</v>
      </c>
      <c r="V32" s="774" t="s">
        <v>17</v>
      </c>
      <c r="W32" s="775">
        <f t="shared" si="12"/>
        <v>100</v>
      </c>
      <c r="X32" s="1813"/>
      <c r="Y32" s="3236"/>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36"/>
      <c r="Q33" s="1810"/>
      <c r="R33" s="774"/>
      <c r="S33" s="775"/>
      <c r="T33" s="774"/>
      <c r="U33" s="775"/>
      <c r="V33" s="774"/>
      <c r="W33" s="775"/>
      <c r="X33" s="1813"/>
      <c r="Y33" s="3236"/>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10" t="str">
        <f t="shared" si="8"/>
        <v>土地级别</v>
      </c>
      <c r="R34" s="774" t="s">
        <v>17</v>
      </c>
      <c r="S34" s="775">
        <f t="shared" si="10"/>
        <v>100</v>
      </c>
      <c r="T34" s="774" t="s">
        <v>17</v>
      </c>
      <c r="U34" s="775">
        <f t="shared" si="11"/>
        <v>100</v>
      </c>
      <c r="V34" s="774" t="s">
        <v>17</v>
      </c>
      <c r="W34" s="775">
        <f t="shared" si="12"/>
        <v>100</v>
      </c>
      <c r="X34" s="1813"/>
      <c r="Y34" s="323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10">
        <f t="shared" si="8"/>
        <v>111</v>
      </c>
      <c r="R35" s="774" t="s">
        <v>17</v>
      </c>
      <c r="S35" s="775">
        <f t="shared" si="10"/>
        <v>100</v>
      </c>
      <c r="T35" s="774" t="s">
        <v>17</v>
      </c>
      <c r="U35" s="775">
        <f t="shared" si="11"/>
        <v>100</v>
      </c>
      <c r="V35" s="774" t="s">
        <v>17</v>
      </c>
      <c r="W35" s="775">
        <f t="shared" si="12"/>
        <v>100</v>
      </c>
      <c r="X35" s="1813"/>
      <c r="Y35" s="323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2556</v>
      </c>
      <c r="Q36" s="1810">
        <f t="shared" si="8"/>
        <v>111</v>
      </c>
      <c r="R36" s="774" t="s">
        <v>17</v>
      </c>
      <c r="S36" s="775">
        <f t="shared" si="10"/>
        <v>100</v>
      </c>
      <c r="T36" s="774" t="s">
        <v>17</v>
      </c>
      <c r="U36" s="775">
        <f t="shared" si="11"/>
        <v>100</v>
      </c>
      <c r="V36" s="774" t="s">
        <v>17</v>
      </c>
      <c r="W36" s="775">
        <f t="shared" si="12"/>
        <v>100</v>
      </c>
      <c r="X36" s="1813"/>
      <c r="Y36" s="3240"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10">
        <f t="shared" si="8"/>
        <v>111</v>
      </c>
      <c r="R37" s="777" t="s">
        <v>17</v>
      </c>
      <c r="S37" s="778">
        <f t="shared" si="10"/>
        <v>100</v>
      </c>
      <c r="T37" s="777" t="s">
        <v>17</v>
      </c>
      <c r="U37" s="778">
        <f t="shared" si="11"/>
        <v>100</v>
      </c>
      <c r="V37" s="777" t="s">
        <v>17</v>
      </c>
      <c r="W37" s="778">
        <f t="shared" si="12"/>
        <v>100</v>
      </c>
      <c r="X37" s="779"/>
      <c r="Y37" s="3240"/>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10" t="str">
        <f>B38</f>
        <v>宗地面积</v>
      </c>
      <c r="R38" s="774" t="s">
        <v>17</v>
      </c>
      <c r="S38" s="775" t="e">
        <f t="shared" si="10"/>
        <v>#N/A</v>
      </c>
      <c r="T38" s="774" t="s">
        <v>17</v>
      </c>
      <c r="U38" s="775" t="e">
        <f t="shared" si="11"/>
        <v>#N/A</v>
      </c>
      <c r="V38" s="774" t="s">
        <v>17</v>
      </c>
      <c r="W38" s="775" t="e">
        <f t="shared" si="12"/>
        <v>#N/A</v>
      </c>
      <c r="X38" s="1813"/>
      <c r="Y38" s="3240"/>
      <c r="Z38" s="1814" t="str">
        <f t="shared" si="13"/>
        <v>宗地面积</v>
      </c>
      <c r="AA38" s="1811" t="e">
        <f t="shared" si="3"/>
        <v>#N/A</v>
      </c>
      <c r="AB38" s="1811" t="e">
        <f t="shared" si="4"/>
        <v>#N/A</v>
      </c>
      <c r="AC38" s="1811"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0"/>
      <c r="Q39" s="1810" t="str">
        <f t="shared" ref="Q39:Q45" si="14">B39</f>
        <v>宗地形状</v>
      </c>
      <c r="R39" s="774" t="s">
        <v>17</v>
      </c>
      <c r="S39" s="775">
        <f t="shared" si="10"/>
        <v>100</v>
      </c>
      <c r="T39" s="774" t="s">
        <v>17</v>
      </c>
      <c r="U39" s="775">
        <f t="shared" si="11"/>
        <v>100</v>
      </c>
      <c r="V39" s="774" t="s">
        <v>17</v>
      </c>
      <c r="W39" s="775">
        <f t="shared" si="12"/>
        <v>100</v>
      </c>
      <c r="X39" s="1813"/>
      <c r="Y39" s="3240"/>
      <c r="Z39" s="1814" t="str">
        <f t="shared" si="13"/>
        <v>宗地形状</v>
      </c>
      <c r="AA39" s="1811">
        <f t="shared" si="3"/>
        <v>1</v>
      </c>
      <c r="AB39" s="1811">
        <f t="shared" si="4"/>
        <v>1</v>
      </c>
      <c r="AC39" s="1811">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0"/>
      <c r="Q40" s="1810" t="str">
        <f t="shared" si="14"/>
        <v>临街宽度及深度</v>
      </c>
      <c r="R40" s="774" t="s">
        <v>17</v>
      </c>
      <c r="S40" s="775">
        <f t="shared" si="10"/>
        <v>100</v>
      </c>
      <c r="T40" s="774" t="s">
        <v>17</v>
      </c>
      <c r="U40" s="775">
        <f t="shared" si="11"/>
        <v>100</v>
      </c>
      <c r="V40" s="774" t="s">
        <v>17</v>
      </c>
      <c r="W40" s="775">
        <f t="shared" si="12"/>
        <v>100</v>
      </c>
      <c r="X40" s="1813"/>
      <c r="Y40" s="3240"/>
      <c r="Z40" s="1814" t="str">
        <f t="shared" si="13"/>
        <v>临街宽度及深度</v>
      </c>
      <c r="AA40" s="1811">
        <f t="shared" si="3"/>
        <v>1</v>
      </c>
      <c r="AB40" s="1811">
        <f t="shared" si="4"/>
        <v>1</v>
      </c>
      <c r="AC40" s="1811">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0"/>
      <c r="Q41" s="1810"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0" t="s">
        <v>2556</v>
      </c>
      <c r="Q42" s="1810" t="str">
        <f t="shared" si="14"/>
        <v>工程地质条件</v>
      </c>
      <c r="R42" s="774" t="s">
        <v>17</v>
      </c>
      <c r="S42" s="775">
        <f t="shared" si="10"/>
        <v>100</v>
      </c>
      <c r="T42" s="774" t="s">
        <v>17</v>
      </c>
      <c r="U42" s="775">
        <f t="shared" si="11"/>
        <v>100</v>
      </c>
      <c r="V42" s="774" t="s">
        <v>17</v>
      </c>
      <c r="W42" s="775">
        <f t="shared" si="12"/>
        <v>100</v>
      </c>
      <c r="X42" s="1813"/>
      <c r="Y42" s="3240"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10">
        <f t="shared" si="14"/>
        <v>111</v>
      </c>
      <c r="R43" s="774" t="s">
        <v>17</v>
      </c>
      <c r="S43" s="775">
        <f t="shared" si="10"/>
        <v>100</v>
      </c>
      <c r="T43" s="774" t="s">
        <v>17</v>
      </c>
      <c r="U43" s="775">
        <f t="shared" si="11"/>
        <v>100</v>
      </c>
      <c r="V43" s="774" t="s">
        <v>17</v>
      </c>
      <c r="W43" s="775">
        <f t="shared" si="12"/>
        <v>100</v>
      </c>
      <c r="X43" s="1813"/>
      <c r="Y43" s="324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10">
        <f t="shared" si="14"/>
        <v>111</v>
      </c>
      <c r="R44" s="774" t="s">
        <v>17</v>
      </c>
      <c r="S44" s="775">
        <f t="shared" si="10"/>
        <v>100</v>
      </c>
      <c r="T44" s="774" t="s">
        <v>17</v>
      </c>
      <c r="U44" s="775">
        <f t="shared" si="11"/>
        <v>100</v>
      </c>
      <c r="V44" s="774" t="s">
        <v>17</v>
      </c>
      <c r="W44" s="775">
        <f t="shared" si="12"/>
        <v>100</v>
      </c>
      <c r="X44" s="1813"/>
      <c r="Y44" s="3240"/>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10">
        <f t="shared" si="14"/>
        <v>111</v>
      </c>
      <c r="R45" s="777" t="s">
        <v>17</v>
      </c>
      <c r="S45" s="778">
        <f t="shared" si="10"/>
        <v>100</v>
      </c>
      <c r="T45" s="777" t="s">
        <v>17</v>
      </c>
      <c r="U45" s="778">
        <f t="shared" si="11"/>
        <v>100</v>
      </c>
      <c r="V45" s="777" t="s">
        <v>17</v>
      </c>
      <c r="W45" s="778">
        <f t="shared" si="12"/>
        <v>100</v>
      </c>
      <c r="X45" s="779"/>
      <c r="Y45" s="3240"/>
      <c r="Z45" s="780">
        <f t="shared" si="13"/>
        <v>111</v>
      </c>
      <c r="AA45" s="1811">
        <f t="shared" si="3"/>
        <v>1</v>
      </c>
      <c r="AB45" s="1811">
        <f t="shared" si="4"/>
        <v>1</v>
      </c>
      <c r="AC45" s="1811">
        <f t="shared" si="5"/>
        <v>1</v>
      </c>
    </row>
    <row r="46" spans="1:29" ht="15">
      <c r="A46" s="479" t="s">
        <v>2711</v>
      </c>
      <c r="B46" s="2702" t="s">
        <v>2747</v>
      </c>
      <c r="C46" s="682" t="s">
        <v>1</v>
      </c>
      <c r="D46" s="481"/>
      <c r="E46" s="482"/>
      <c r="F46" s="483"/>
      <c r="G46" s="484"/>
      <c r="H46" s="485"/>
      <c r="I46" s="482"/>
      <c r="J46" s="485"/>
      <c r="K46" s="783"/>
      <c r="L46" s="1143"/>
      <c r="M46" s="1144"/>
      <c r="N46" s="1131"/>
      <c r="O46" s="1144"/>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3" t="s">
        <v>2751</v>
      </c>
      <c r="D55" s="2704" t="s">
        <v>2752</v>
      </c>
      <c r="E55" s="686" t="s">
        <v>2753</v>
      </c>
      <c r="F55" s="1107" t="s">
        <v>2754</v>
      </c>
      <c r="G55" s="3216" t="s">
        <v>2755</v>
      </c>
      <c r="H55" s="3262"/>
      <c r="I55" s="144" t="s">
        <v>2756</v>
      </c>
      <c r="J55" s="2705">
        <f>项目基本情况!F35</f>
        <v>0</v>
      </c>
      <c r="K55" s="2706" t="s">
        <v>2757</v>
      </c>
      <c r="L55" s="1106"/>
      <c r="M55" s="1144"/>
      <c r="N55" s="1144"/>
      <c r="O55" s="1144"/>
    </row>
    <row r="56" spans="1:15" s="692" customFormat="1">
      <c r="A56" s="688" t="s">
        <v>2758</v>
      </c>
      <c r="B56" s="689" t="e">
        <f>C48</f>
        <v>#DIV/0!</v>
      </c>
      <c r="C56" s="690">
        <v>1</v>
      </c>
      <c r="D56" s="1163">
        <v>1</v>
      </c>
      <c r="E56" s="690">
        <f>'数据-汇总表'!E8+'数据-汇总表'!E9</f>
        <v>82874.320000000007</v>
      </c>
      <c r="F56" s="1103" t="e">
        <f t="shared" ref="F56:F65" si="15">ROUND(B56*E56/10000,0)</f>
        <v>#DIV/0!</v>
      </c>
      <c r="G56" s="3215"/>
      <c r="H56" s="3233"/>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263"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263"/>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263"/>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263"/>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5713.75</v>
      </c>
      <c r="F61" s="1103" t="e">
        <f t="shared" si="15"/>
        <v>#DIV/0!</v>
      </c>
      <c r="G61" s="2707"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0.15</v>
      </c>
      <c r="D63" s="1164">
        <v>0.25</v>
      </c>
      <c r="E63" s="261">
        <f>'数据-汇总表'!E13</f>
        <v>18596.150000000001</v>
      </c>
      <c r="F63" s="1103" t="e">
        <f t="shared" si="15"/>
        <v>#DIV/0!</v>
      </c>
      <c r="G63" s="1109" t="s">
        <v>2769</v>
      </c>
      <c r="H63" s="1104" t="str">
        <f>IF(G63="商业",项目基本情况!B37,IF(G63="办公",项目基本情况!C37,IF(G63="住宅",项目基本情况!D37,项目基本情况!E37)))</f>
        <v>九级</v>
      </c>
      <c r="I63" s="1108">
        <f>SUMIF(修正!A45:A56,H63,修正!H45:H56)</f>
        <v>0.15</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7"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8"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107184.22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2773</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0" t="s">
        <v>2774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64" t="s">
        <v>2788</v>
      </c>
      <c r="D6" s="3265"/>
      <c r="E6" s="3266" t="s">
        <v>2788</v>
      </c>
      <c r="F6" s="3267"/>
      <c r="G6" s="3264" t="s">
        <v>2788</v>
      </c>
      <c r="H6" s="3265"/>
      <c r="I6" s="3264" t="s">
        <v>2788</v>
      </c>
      <c r="J6" s="3265"/>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33"/>
      <c r="Q10" s="1795"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2550</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2551</v>
      </c>
      <c r="Q15" s="1810" t="str">
        <f t="shared" si="6"/>
        <v>产业集聚程度</v>
      </c>
      <c r="R15" s="774" t="s">
        <v>17</v>
      </c>
      <c r="S15" s="775">
        <f t="shared" si="0"/>
        <v>100</v>
      </c>
      <c r="T15" s="774" t="s">
        <v>17</v>
      </c>
      <c r="U15" s="775">
        <f t="shared" si="1"/>
        <v>100</v>
      </c>
      <c r="V15" s="774" t="s">
        <v>17</v>
      </c>
      <c r="W15" s="775">
        <f t="shared" si="2"/>
        <v>100</v>
      </c>
      <c r="X15" s="1813"/>
      <c r="Y15" s="3235" t="s">
        <v>2551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10" t="str">
        <f t="shared" ref="Q19:Q33" si="8">B19</f>
        <v>区域土地利用方向</v>
      </c>
      <c r="R19" s="774" t="s">
        <v>17</v>
      </c>
      <c r="S19" s="775">
        <f>F19</f>
        <v>100</v>
      </c>
      <c r="T19" s="774" t="s">
        <v>17</v>
      </c>
      <c r="U19" s="775">
        <f>H19</f>
        <v>100</v>
      </c>
      <c r="V19" s="774" t="s">
        <v>17</v>
      </c>
      <c r="W19" s="775">
        <f>J19</f>
        <v>100</v>
      </c>
      <c r="X19" s="1813"/>
      <c r="Y19" s="3236"/>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09"/>
      <c r="L20" s="1140"/>
      <c r="M20" s="1131"/>
      <c r="N20" s="1131"/>
      <c r="O20" s="1139"/>
      <c r="P20" s="3236"/>
      <c r="Q20" s="1810"/>
      <c r="R20" s="774"/>
      <c r="S20" s="775"/>
      <c r="T20" s="774"/>
      <c r="U20" s="775"/>
      <c r="V20" s="774"/>
      <c r="W20" s="775"/>
      <c r="X20" s="1813"/>
      <c r="Y20" s="3236"/>
      <c r="Z20" s="1814"/>
      <c r="AA20" s="1811"/>
      <c r="AB20" s="1811"/>
      <c r="AC20" s="1811"/>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10" t="str">
        <f t="shared" si="8"/>
        <v>环境状况</v>
      </c>
      <c r="R21" s="774" t="s">
        <v>17</v>
      </c>
      <c r="S21" s="775">
        <f>F21</f>
        <v>100</v>
      </c>
      <c r="T21" s="774" t="s">
        <v>17</v>
      </c>
      <c r="U21" s="775">
        <f>H21</f>
        <v>100</v>
      </c>
      <c r="V21" s="774" t="s">
        <v>17</v>
      </c>
      <c r="W21" s="775">
        <f>J21</f>
        <v>100</v>
      </c>
      <c r="X21" s="1813"/>
      <c r="Y21" s="3236"/>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5" t="str">
        <f t="shared" si="8"/>
        <v>公共配套设施</v>
      </c>
      <c r="R23" s="770" t="s">
        <v>17</v>
      </c>
      <c r="S23" s="771">
        <f>F23</f>
        <v>100</v>
      </c>
      <c r="T23" s="770" t="s">
        <v>17</v>
      </c>
      <c r="U23" s="771">
        <f>H23</f>
        <v>100</v>
      </c>
      <c r="V23" s="770" t="s">
        <v>17</v>
      </c>
      <c r="W23" s="771">
        <f>J23</f>
        <v>100</v>
      </c>
      <c r="X23" s="772"/>
      <c r="Y23" s="3236"/>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36"/>
      <c r="Q24" s="1795"/>
      <c r="R24" s="770"/>
      <c r="S24" s="771"/>
      <c r="T24" s="770"/>
      <c r="U24" s="771"/>
      <c r="V24" s="770"/>
      <c r="W24" s="771"/>
      <c r="X24" s="772"/>
      <c r="Y24" s="3236"/>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5"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6"/>
      <c r="Q26" s="1795"/>
      <c r="R26" s="770"/>
      <c r="S26" s="771"/>
      <c r="T26" s="770"/>
      <c r="U26" s="771"/>
      <c r="V26" s="770"/>
      <c r="W26" s="771"/>
      <c r="X26" s="772"/>
      <c r="Y26" s="3236"/>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6"/>
      <c r="Z27" s="1814" t="str">
        <f t="shared" ref="Z27:Z40" si="13">Q27</f>
        <v>临街状况</v>
      </c>
      <c r="AA27" s="1811">
        <f t="shared" si="3"/>
        <v>1</v>
      </c>
      <c r="AB27" s="1811">
        <f t="shared" si="4"/>
        <v>1</v>
      </c>
      <c r="AC27" s="1811">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10" t="str">
        <f t="shared" si="8"/>
        <v>毗邻道路的类型与等级</v>
      </c>
      <c r="R28" s="774" t="s">
        <v>17</v>
      </c>
      <c r="S28" s="775">
        <f t="shared" si="10"/>
        <v>100</v>
      </c>
      <c r="T28" s="774" t="s">
        <v>17</v>
      </c>
      <c r="U28" s="775">
        <f t="shared" si="11"/>
        <v>100</v>
      </c>
      <c r="V28" s="774" t="s">
        <v>17</v>
      </c>
      <c r="W28" s="775">
        <f t="shared" si="12"/>
        <v>100</v>
      </c>
      <c r="X28" s="1813"/>
      <c r="Y28" s="3236"/>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36"/>
      <c r="Q29" s="1810"/>
      <c r="R29" s="774"/>
      <c r="S29" s="775"/>
      <c r="T29" s="774"/>
      <c r="U29" s="775"/>
      <c r="V29" s="774"/>
      <c r="W29" s="775"/>
      <c r="X29" s="1813"/>
      <c r="Y29" s="3236"/>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10" t="str">
        <f t="shared" si="8"/>
        <v>土地级别</v>
      </c>
      <c r="R30" s="774" t="s">
        <v>17</v>
      </c>
      <c r="S30" s="775">
        <f t="shared" si="10"/>
        <v>100</v>
      </c>
      <c r="T30" s="774" t="s">
        <v>17</v>
      </c>
      <c r="U30" s="775">
        <f t="shared" si="11"/>
        <v>100</v>
      </c>
      <c r="V30" s="774" t="s">
        <v>17</v>
      </c>
      <c r="W30" s="775">
        <f t="shared" si="12"/>
        <v>100</v>
      </c>
      <c r="X30" s="1813"/>
      <c r="Y30" s="3236"/>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10">
        <f t="shared" si="8"/>
        <v>111</v>
      </c>
      <c r="R31" s="774" t="s">
        <v>17</v>
      </c>
      <c r="S31" s="775">
        <f t="shared" si="10"/>
        <v>100</v>
      </c>
      <c r="T31" s="774" t="s">
        <v>17</v>
      </c>
      <c r="U31" s="775">
        <f t="shared" si="11"/>
        <v>100</v>
      </c>
      <c r="V31" s="774" t="s">
        <v>17</v>
      </c>
      <c r="W31" s="775">
        <f t="shared" si="12"/>
        <v>100</v>
      </c>
      <c r="X31" s="1813"/>
      <c r="Y31" s="3236"/>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2556</v>
      </c>
      <c r="Q32" s="1810">
        <f t="shared" si="8"/>
        <v>111</v>
      </c>
      <c r="R32" s="774" t="s">
        <v>17</v>
      </c>
      <c r="S32" s="775">
        <f t="shared" si="10"/>
        <v>100</v>
      </c>
      <c r="T32" s="774" t="s">
        <v>17</v>
      </c>
      <c r="U32" s="775">
        <f t="shared" si="11"/>
        <v>100</v>
      </c>
      <c r="V32" s="774" t="s">
        <v>17</v>
      </c>
      <c r="W32" s="775">
        <f t="shared" si="12"/>
        <v>100</v>
      </c>
      <c r="X32" s="1813"/>
      <c r="Y32" s="3240" t="s">
        <v>2556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10">
        <f t="shared" si="8"/>
        <v>111</v>
      </c>
      <c r="R33" s="777" t="s">
        <v>17</v>
      </c>
      <c r="S33" s="778">
        <f t="shared" si="10"/>
        <v>100</v>
      </c>
      <c r="T33" s="777" t="s">
        <v>17</v>
      </c>
      <c r="U33" s="778">
        <f t="shared" si="11"/>
        <v>100</v>
      </c>
      <c r="V33" s="777" t="s">
        <v>17</v>
      </c>
      <c r="W33" s="778">
        <f t="shared" si="12"/>
        <v>100</v>
      </c>
      <c r="X33" s="779"/>
      <c r="Y33" s="3240"/>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10" t="str">
        <f>B34</f>
        <v>宗地面积</v>
      </c>
      <c r="R34" s="774" t="s">
        <v>17</v>
      </c>
      <c r="S34" s="775" t="e">
        <f t="shared" si="10"/>
        <v>#N/A</v>
      </c>
      <c r="T34" s="774" t="s">
        <v>17</v>
      </c>
      <c r="U34" s="775" t="e">
        <f t="shared" si="11"/>
        <v>#N/A</v>
      </c>
      <c r="V34" s="774" t="s">
        <v>17</v>
      </c>
      <c r="W34" s="775" t="e">
        <f t="shared" si="12"/>
        <v>#N/A</v>
      </c>
      <c r="X34" s="1813"/>
      <c r="Y34" s="3240"/>
      <c r="Z34" s="1814" t="str">
        <f t="shared" si="13"/>
        <v>宗地面积</v>
      </c>
      <c r="AA34" s="1811" t="e">
        <f t="shared" si="3"/>
        <v>#N/A</v>
      </c>
      <c r="AB34" s="1811" t="e">
        <f t="shared" si="4"/>
        <v>#N/A</v>
      </c>
      <c r="AC34" s="1811"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0"/>
      <c r="Q35" s="1810" t="str">
        <f t="shared" ref="Q35:Q40" si="14">B35</f>
        <v>宗地形状</v>
      </c>
      <c r="R35" s="774" t="s">
        <v>17</v>
      </c>
      <c r="S35" s="775">
        <f t="shared" si="10"/>
        <v>100</v>
      </c>
      <c r="T35" s="774" t="s">
        <v>17</v>
      </c>
      <c r="U35" s="775">
        <f t="shared" si="11"/>
        <v>100</v>
      </c>
      <c r="V35" s="774" t="s">
        <v>17</v>
      </c>
      <c r="W35" s="775">
        <f t="shared" si="12"/>
        <v>100</v>
      </c>
      <c r="X35" s="1813"/>
      <c r="Y35" s="3240"/>
      <c r="Z35" s="1814" t="str">
        <f t="shared" si="13"/>
        <v>宗地形状</v>
      </c>
      <c r="AA35" s="1811">
        <f t="shared" si="3"/>
        <v>1</v>
      </c>
      <c r="AB35" s="1811">
        <f t="shared" si="4"/>
        <v>1</v>
      </c>
      <c r="AC35" s="1811">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0"/>
      <c r="Q36" s="1810"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0" t="s">
        <v>2556</v>
      </c>
      <c r="Q37" s="1810" t="str">
        <f t="shared" si="14"/>
        <v>工程地质条件</v>
      </c>
      <c r="R37" s="774" t="s">
        <v>17</v>
      </c>
      <c r="S37" s="775">
        <f t="shared" si="10"/>
        <v>100</v>
      </c>
      <c r="T37" s="774" t="s">
        <v>17</v>
      </c>
      <c r="U37" s="775">
        <f t="shared" si="11"/>
        <v>100</v>
      </c>
      <c r="V37" s="774" t="s">
        <v>17</v>
      </c>
      <c r="W37" s="775">
        <f t="shared" si="12"/>
        <v>100</v>
      </c>
      <c r="X37" s="1813"/>
      <c r="Y37" s="3240"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10">
        <f t="shared" si="14"/>
        <v>111</v>
      </c>
      <c r="R38" s="774" t="s">
        <v>17</v>
      </c>
      <c r="S38" s="775">
        <f t="shared" si="10"/>
        <v>100</v>
      </c>
      <c r="T38" s="774" t="s">
        <v>17</v>
      </c>
      <c r="U38" s="775">
        <f t="shared" si="11"/>
        <v>100</v>
      </c>
      <c r="V38" s="774" t="s">
        <v>17</v>
      </c>
      <c r="W38" s="775">
        <f t="shared" si="12"/>
        <v>100</v>
      </c>
      <c r="X38" s="1813"/>
      <c r="Y38" s="324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10">
        <f t="shared" si="14"/>
        <v>111</v>
      </c>
      <c r="R39" s="774" t="s">
        <v>17</v>
      </c>
      <c r="S39" s="775">
        <f t="shared" si="10"/>
        <v>100</v>
      </c>
      <c r="T39" s="774" t="s">
        <v>17</v>
      </c>
      <c r="U39" s="775">
        <f t="shared" si="11"/>
        <v>100</v>
      </c>
      <c r="V39" s="774" t="s">
        <v>17</v>
      </c>
      <c r="W39" s="775">
        <f t="shared" si="12"/>
        <v>100</v>
      </c>
      <c r="X39" s="1813"/>
      <c r="Y39" s="3240"/>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10">
        <f t="shared" si="14"/>
        <v>111</v>
      </c>
      <c r="R40" s="777" t="s">
        <v>17</v>
      </c>
      <c r="S40" s="778">
        <f t="shared" si="10"/>
        <v>100</v>
      </c>
      <c r="T40" s="777" t="s">
        <v>17</v>
      </c>
      <c r="U40" s="778">
        <f t="shared" si="11"/>
        <v>100</v>
      </c>
      <c r="V40" s="777" t="s">
        <v>17</v>
      </c>
      <c r="W40" s="778">
        <f t="shared" si="12"/>
        <v>100</v>
      </c>
      <c r="X40" s="779"/>
      <c r="Y40" s="3240"/>
      <c r="Z40" s="780">
        <f t="shared" si="13"/>
        <v>111</v>
      </c>
      <c r="AA40" s="1811">
        <f t="shared" si="3"/>
        <v>1</v>
      </c>
      <c r="AB40" s="1811">
        <f t="shared" si="4"/>
        <v>1</v>
      </c>
      <c r="AC40" s="1811">
        <f t="shared" si="5"/>
        <v>1</v>
      </c>
    </row>
    <row r="41" spans="1:29" ht="15">
      <c r="A41" s="479" t="s">
        <v>2711</v>
      </c>
      <c r="B41" s="2702" t="s">
        <v>2791</v>
      </c>
      <c r="C41" s="682" t="s">
        <v>1</v>
      </c>
      <c r="D41" s="481"/>
      <c r="E41" s="482"/>
      <c r="F41" s="483"/>
      <c r="G41" s="484"/>
      <c r="H41" s="485"/>
      <c r="I41" s="482"/>
      <c r="J41" s="485"/>
      <c r="K41" s="783"/>
      <c r="L41" s="1143"/>
      <c r="M41" s="1131"/>
      <c r="N41" s="1131"/>
      <c r="O41" s="1144"/>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3" t="s">
        <v>2751</v>
      </c>
      <c r="D50" s="2704" t="s">
        <v>2752</v>
      </c>
      <c r="E50" s="686" t="s">
        <v>2753</v>
      </c>
      <c r="F50" s="687" t="s">
        <v>2754</v>
      </c>
      <c r="G50" s="3216" t="s">
        <v>2755</v>
      </c>
      <c r="H50" s="3262"/>
      <c r="I50" s="1814" t="s">
        <v>2792</v>
      </c>
      <c r="J50" s="1814">
        <f>项目基本情况!F35</f>
        <v>0</v>
      </c>
      <c r="K50" s="2706" t="s">
        <v>2757</v>
      </c>
      <c r="L50" s="1106"/>
      <c r="M50" s="1144"/>
      <c r="N50" s="1144"/>
      <c r="O50" s="1144"/>
    </row>
    <row r="51" spans="1:17" s="692" customFormat="1">
      <c r="A51" s="688" t="s">
        <v>2758</v>
      </c>
      <c r="B51" s="689" t="e">
        <f>C43</f>
        <v>#DIV/0!</v>
      </c>
      <c r="C51" s="690">
        <v>1</v>
      </c>
      <c r="D51" s="1163">
        <v>1</v>
      </c>
      <c r="E51" s="690">
        <f>'数据-汇总表'!E8+'数据-汇总表'!E9</f>
        <v>82874.320000000007</v>
      </c>
      <c r="F51" s="691" t="e">
        <f t="shared" ref="F51:F60" si="15">ROUND(B51*E51/10000,0)</f>
        <v>#DIV/0!</v>
      </c>
      <c r="G51" s="3215"/>
      <c r="H51" s="3233"/>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263"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263"/>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263"/>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263"/>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5713.75</v>
      </c>
      <c r="F56" s="691" t="e">
        <f t="shared" si="15"/>
        <v>#DIV/0!</v>
      </c>
      <c r="G56" s="2707"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0.15</v>
      </c>
      <c r="D58" s="1164">
        <v>0.25</v>
      </c>
      <c r="E58" s="261">
        <f>'数据-汇总表'!E13</f>
        <v>18596.150000000001</v>
      </c>
      <c r="F58" s="691" t="e">
        <f t="shared" si="15"/>
        <v>#DIV/0!</v>
      </c>
      <c r="G58" s="1109" t="s">
        <v>2769</v>
      </c>
      <c r="H58" s="1104" t="str">
        <f>IF(G58="商业",项目基本情况!B37,IF(G58="办公",项目基本情况!C37,IF(G58="住宅",项目基本情况!D37,项目基本情况!E37)))</f>
        <v>九级</v>
      </c>
      <c r="I58" s="942">
        <f>SUMIF(修正!A45:A56,H58,修正!H45:H56)</f>
        <v>0.15</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7"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8"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24393.62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2773</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4" t="s">
        <v>2793</v>
      </c>
      <c r="B66" s="332" t="str">
        <f>"北京市平均增长率"&amp;TEXT(基准地价修正!P24,"0.00%")</f>
        <v>北京市平均增长率1.42%</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K38" sqref="K38"/>
    </sheetView>
  </sheetViews>
  <sheetFormatPr defaultColWidth="12" defaultRowHeight="12.75"/>
  <cols>
    <col min="1" max="1" width="9.75" style="2792" customWidth="1"/>
    <col min="2" max="2" width="19.25" style="2898" customWidth="1"/>
    <col min="3" max="4" width="12" style="2718"/>
    <col min="5" max="5" width="14.625" style="2718" customWidth="1"/>
    <col min="6" max="8" width="12" style="2718"/>
    <col min="9" max="9" width="12.25" style="2718" bestFit="1" customWidth="1"/>
    <col min="10" max="10" width="12" style="2718"/>
    <col min="11" max="11" width="8.125" style="2784" customWidth="1"/>
    <col min="12" max="12" width="12" style="2718"/>
    <col min="13" max="13" width="8.5" style="2718" customWidth="1"/>
    <col min="14" max="14" width="9.75" style="2718" customWidth="1"/>
    <col min="15" max="25" width="12" style="2718"/>
    <col min="26" max="26" width="9.375" style="2792" customWidth="1"/>
    <col min="27" max="32" width="9.375" style="1372" customWidth="1"/>
    <col min="33" max="36" width="9.375" style="2792" customWidth="1"/>
    <col min="37" max="38" width="9.375" style="2718" customWidth="1"/>
    <col min="39" max="16384" width="12" style="2718"/>
  </cols>
  <sheetData>
    <row r="1" spans="1:36" ht="28.5">
      <c r="A1" s="240" t="s">
        <v>2795</v>
      </c>
      <c r="B1" s="241"/>
      <c r="C1" s="245" t="s">
        <v>2796</v>
      </c>
      <c r="D1" s="388">
        <f>SUM(D29:D30,D33:D39)</f>
        <v>107184.21999999997</v>
      </c>
      <c r="E1" s="2715"/>
      <c r="F1" s="2715"/>
      <c r="G1" s="2715"/>
      <c r="H1" s="2715"/>
      <c r="I1" s="2715"/>
      <c r="J1" s="2715"/>
      <c r="K1" s="1370"/>
      <c r="L1" s="2716" t="s">
        <v>2797</v>
      </c>
      <c r="M1" s="1080">
        <f>SUMPRODUCT((区片价!B5:B9=I2)*(区片价!C3:F3=E2)*(区片价!C5:F9))</f>
        <v>0</v>
      </c>
      <c r="N1" s="1083">
        <f>SUMPRODUCT((因素修正幅度!B5:B9=I2)*(因素修正幅度!C3:F3=E2)*(因素修正幅度!C5:F9))</f>
        <v>0</v>
      </c>
      <c r="O1" s="2717"/>
      <c r="P1" s="2717"/>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30590</v>
      </c>
      <c r="C2" s="2719" t="s">
        <v>2804</v>
      </c>
      <c r="D2" s="2720" t="s">
        <v>2805</v>
      </c>
      <c r="E2" s="2721" t="s">
        <v>27</v>
      </c>
      <c r="F2" s="2720" t="s">
        <v>2806</v>
      </c>
      <c r="G2" s="2722" t="str">
        <f>IF(E2="商业",项目基本情况!B37,IF(E2="办公",项目基本情况!C37,IF(E2="住宅",项目基本情况!D37,项目基本情况!E37)))</f>
        <v>九级</v>
      </c>
      <c r="H2" s="2720" t="s">
        <v>2807</v>
      </c>
      <c r="I2" s="2722" t="str">
        <f>IF(E2="商业",项目基本情况!B38,IF(E2="办公",项目基本情况!C38,IF(E2="住宅",项目基本情况!D38,项目基本情况!E38)))</f>
        <v>Ⅸ-亦1</v>
      </c>
      <c r="J2" s="2723"/>
      <c r="K2" s="1370"/>
      <c r="L2" s="2724"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8404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f ca="1">ROUND(B2*10000/D1,0)</f>
        <v>2854</v>
      </c>
      <c r="C3" s="2719" t="s">
        <v>2810</v>
      </c>
      <c r="D3" s="2720" t="s">
        <v>2811</v>
      </c>
      <c r="E3" s="2725" t="s">
        <v>3119</v>
      </c>
      <c r="F3" s="2726" t="s">
        <v>2812</v>
      </c>
      <c r="G3" s="913">
        <f>IF(F3="宗地容积率",'数据-汇总表'!I4,IF(F3="估价对象容积率",'数据-汇总表'!I6,'数据-汇总表'!I7))</f>
        <v>3.82</v>
      </c>
      <c r="H3" s="198" t="s">
        <v>2813</v>
      </c>
      <c r="I3" s="944"/>
      <c r="J3" s="2723" t="s">
        <v>2814</v>
      </c>
      <c r="K3" s="1370"/>
      <c r="L3" s="2724"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5539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4"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4359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2817</v>
      </c>
      <c r="C5" s="914">
        <f>ROUND(IF(E2="商业",IF(F16="增加",C6*C7+C16,C6*C7-C16),IF(E2="住宅",IF(F16="增加",C6*C12+C16,C6*C12-C16),IF(F16="增加",C6+C16,C6-C16))),0)</f>
        <v>4030</v>
      </c>
      <c r="D5" s="1787">
        <f>ROUND(IF(E2="商业",IF(F16="增加",C6+C16,C6-C16)),0)</f>
        <v>0</v>
      </c>
      <c r="E5" s="2729"/>
      <c r="F5" s="2729"/>
      <c r="G5" s="2730"/>
      <c r="H5" s="2730"/>
      <c r="I5" s="2730"/>
      <c r="J5" s="2731"/>
      <c r="K5" s="2732"/>
      <c r="L5" s="2724"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3257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2819</v>
      </c>
      <c r="B6" s="2738" t="s">
        <v>2820</v>
      </c>
      <c r="C6" s="915">
        <f>SUMIF(L1:L12,G2,M1:M12)</f>
        <v>4030</v>
      </c>
      <c r="D6" s="2739" t="s">
        <v>2821</v>
      </c>
      <c r="E6" s="2740"/>
      <c r="F6" s="2740"/>
      <c r="G6" s="2741"/>
      <c r="H6" s="2741"/>
      <c r="I6" s="2741"/>
      <c r="J6" s="2742"/>
      <c r="K6" s="1842"/>
      <c r="L6" s="2724"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2449</v>
      </c>
      <c r="U6" s="1603"/>
      <c r="V6" s="1602">
        <f t="shared" ca="1" si="1"/>
        <v>0</v>
      </c>
      <c r="W6" s="1606"/>
      <c r="X6" s="1606"/>
      <c r="Y6" s="1606"/>
      <c r="Z6" s="1606"/>
      <c r="AA6" s="1606"/>
      <c r="AB6" s="1606"/>
      <c r="AC6" s="2733"/>
      <c r="AD6" s="2734"/>
      <c r="AE6" s="2734"/>
      <c r="AF6" s="2734"/>
      <c r="AG6" s="2734"/>
      <c r="AH6" s="2734"/>
      <c r="AI6" s="2734"/>
      <c r="AJ6" s="2735"/>
    </row>
    <row r="7" spans="1:36" ht="24">
      <c r="A7" s="3268" t="str">
        <f>IF(E2="商业",IF(C8="不临58条商业街","",2),"")</f>
        <v/>
      </c>
      <c r="B7" s="2743" t="s">
        <v>2823</v>
      </c>
      <c r="C7" s="916">
        <f>IF(C8="不临58条商业街",1,ROUND(1+(1.6*E8+1.2*E9+0.8*E10+0.4*E11)*C9,4))</f>
        <v>1</v>
      </c>
      <c r="D7" s="2744" t="s">
        <v>2824</v>
      </c>
      <c r="E7" s="945"/>
      <c r="F7" s="2745"/>
      <c r="G7" s="2746"/>
      <c r="H7" s="2746"/>
      <c r="I7" s="2746"/>
      <c r="J7" s="2747"/>
      <c r="K7" s="1842"/>
      <c r="L7" s="2724"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1958</v>
      </c>
      <c r="U7" s="1603"/>
      <c r="V7" s="1602">
        <f t="shared" ca="1" si="1"/>
        <v>0</v>
      </c>
      <c r="W7" s="1816" t="s">
        <v>2826</v>
      </c>
      <c r="X7" s="1604" t="str">
        <f>G2</f>
        <v>九级</v>
      </c>
      <c r="Y7" s="1604" t="s">
        <v>2827</v>
      </c>
      <c r="Z7" s="1605">
        <f>G3</f>
        <v>3.82</v>
      </c>
      <c r="AA7" s="1606"/>
      <c r="AB7" s="1606"/>
      <c r="AC7" s="1607"/>
      <c r="AD7" s="1608"/>
      <c r="AE7" s="1608"/>
      <c r="AF7" s="1608"/>
      <c r="AG7" s="1608"/>
      <c r="AH7" s="1608"/>
      <c r="AI7" s="1608"/>
      <c r="AJ7" s="1609"/>
    </row>
    <row r="8" spans="1:36" ht="25.5">
      <c r="A8" s="3269"/>
      <c r="B8" s="198" t="s">
        <v>2828</v>
      </c>
      <c r="C8" s="2748" t="s">
        <v>3120</v>
      </c>
      <c r="D8" s="917" t="s">
        <v>139</v>
      </c>
      <c r="E8" s="918" t="e">
        <f>ROUND(C11/E7,4)</f>
        <v>#DIV/0!</v>
      </c>
      <c r="F8" s="2749" t="s">
        <v>2829</v>
      </c>
      <c r="G8" s="2750"/>
      <c r="H8" s="2750"/>
      <c r="I8" s="2750"/>
      <c r="J8" s="2751"/>
      <c r="K8" s="1370"/>
      <c r="L8" s="2724"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9" t="s">
        <v>2831</v>
      </c>
      <c r="X8" s="328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69"/>
      <c r="B9" s="198" t="s">
        <v>2844</v>
      </c>
      <c r="C9" s="919">
        <f>SUMIF(修正!C59:C119,C8,修正!E59:E119)</f>
        <v>0</v>
      </c>
      <c r="D9" s="200" t="s">
        <v>140</v>
      </c>
      <c r="E9" s="200" t="e">
        <f>ROUND(C11/E7,4)</f>
        <v>#DIV/0!</v>
      </c>
      <c r="F9" s="2749" t="s">
        <v>2845</v>
      </c>
      <c r="G9" s="2750"/>
      <c r="H9" s="2750"/>
      <c r="I9" s="2750"/>
      <c r="J9" s="2751"/>
      <c r="K9" s="1370"/>
      <c r="L9" s="2724" t="s">
        <v>2846</v>
      </c>
      <c r="M9" s="1081">
        <f>SUMPRODUCT((区片价!B245:B289=I2)*(区片价!C3:F3=E2)*(区片价!C245:F289))</f>
        <v>4030</v>
      </c>
      <c r="N9" s="1083">
        <f>SUMPRODUCT((因素修正幅度!B245:B289=I2)*(因素修正幅度!C3:F3=E2)*(因素修正幅度!C245:F289))</f>
        <v>0.15</v>
      </c>
      <c r="O9" s="1370"/>
      <c r="P9" s="1370"/>
      <c r="Q9" s="1370"/>
      <c r="R9" s="1602">
        <v>8</v>
      </c>
      <c r="S9" s="1603"/>
      <c r="T9" s="1602">
        <f t="shared" ca="1" si="0"/>
        <v>0</v>
      </c>
      <c r="U9" s="1603"/>
      <c r="V9" s="1602">
        <f t="shared" ca="1" si="1"/>
        <v>0</v>
      </c>
      <c r="W9" s="3281"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2849</v>
      </c>
      <c r="C10" s="200">
        <f>SUMIF(修正!C59:C119,C8,修正!F59:F119)</f>
        <v>0</v>
      </c>
      <c r="D10" s="200" t="s">
        <v>141</v>
      </c>
      <c r="E10" s="200" t="e">
        <f>ROUND(C11/E7,4)</f>
        <v>#DIV/0!</v>
      </c>
      <c r="F10" s="2749" t="s">
        <v>2850</v>
      </c>
      <c r="G10" s="2750"/>
      <c r="H10" s="2750"/>
      <c r="I10" s="2750"/>
      <c r="J10" s="2751"/>
      <c r="K10" s="1370"/>
      <c r="L10" s="2724"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52" t="s">
        <v>2852</v>
      </c>
      <c r="C11" s="920">
        <f>C10/4</f>
        <v>0</v>
      </c>
      <c r="D11" s="920" t="s">
        <v>142</v>
      </c>
      <c r="E11" s="920" t="e">
        <f>ROUND(C11/E7,4)</f>
        <v>#DIV/0!</v>
      </c>
      <c r="F11" s="2753" t="s">
        <v>2853</v>
      </c>
      <c r="G11" s="2754"/>
      <c r="H11" s="2754"/>
      <c r="I11" s="2754"/>
      <c r="J11" s="2755"/>
      <c r="K11" s="1370"/>
      <c r="L11" s="2724"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1" t="s">
        <v>2855</v>
      </c>
      <c r="X11" s="1614" t="s">
        <v>2856</v>
      </c>
      <c r="Y11" s="1615">
        <f>$G$3</f>
        <v>3.82</v>
      </c>
      <c r="Z11" s="1615">
        <f t="shared" ref="Z11:AJ11" si="3">$G$3</f>
        <v>3.82</v>
      </c>
      <c r="AA11" s="1615">
        <f t="shared" si="3"/>
        <v>3.82</v>
      </c>
      <c r="AB11" s="1615">
        <f t="shared" si="3"/>
        <v>3.82</v>
      </c>
      <c r="AC11" s="1615">
        <f t="shared" si="3"/>
        <v>3.82</v>
      </c>
      <c r="AD11" s="1615">
        <f t="shared" si="3"/>
        <v>3.82</v>
      </c>
      <c r="AE11" s="1615">
        <f t="shared" si="3"/>
        <v>3.82</v>
      </c>
      <c r="AF11" s="1615">
        <f t="shared" si="3"/>
        <v>3.82</v>
      </c>
      <c r="AG11" s="1615">
        <f t="shared" si="3"/>
        <v>3.82</v>
      </c>
      <c r="AH11" s="1615">
        <f t="shared" si="3"/>
        <v>3.82</v>
      </c>
      <c r="AI11" s="1615">
        <f t="shared" si="3"/>
        <v>3.82</v>
      </c>
      <c r="AJ11" s="1615">
        <f t="shared" si="3"/>
        <v>3.82</v>
      </c>
    </row>
    <row r="12" spans="1:36" ht="25.5" thickBot="1">
      <c r="A12" s="3268" t="s">
        <v>2857</v>
      </c>
      <c r="B12" s="2756" t="s">
        <v>2858</v>
      </c>
      <c r="C12" s="916">
        <f>ROUND(C15*D15*E15*F15*G15*H15*I15*J15,4)</f>
        <v>1.21</v>
      </c>
      <c r="D12" s="2757" t="s">
        <v>2859</v>
      </c>
      <c r="E12" s="2758"/>
      <c r="F12" s="2758"/>
      <c r="G12" s="2759"/>
      <c r="H12" s="2759"/>
      <c r="I12" s="2759"/>
      <c r="J12" s="2760"/>
      <c r="K12" s="1370"/>
      <c r="L12" s="2761"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6"/>
      <c r="B13" s="2762" t="s">
        <v>2862</v>
      </c>
      <c r="C13" s="2763" t="s">
        <v>2863</v>
      </c>
      <c r="D13" s="1808" t="s">
        <v>2864</v>
      </c>
      <c r="E13" s="1808" t="s">
        <v>2865</v>
      </c>
      <c r="F13" s="30" t="s">
        <v>2866</v>
      </c>
      <c r="G13" s="2764" t="s">
        <v>2867</v>
      </c>
      <c r="H13" s="2764" t="s">
        <v>2867</v>
      </c>
      <c r="I13" s="2764" t="s">
        <v>2867</v>
      </c>
      <c r="J13" s="2765" t="s">
        <v>2867</v>
      </c>
      <c r="K13" s="1370"/>
      <c r="L13" s="1370"/>
      <c r="M13" s="1370"/>
      <c r="N13" s="1370"/>
      <c r="O13" s="1370"/>
      <c r="P13" s="1370"/>
      <c r="Q13" s="1370"/>
      <c r="R13" s="1602">
        <v>12</v>
      </c>
      <c r="S13" s="1603"/>
      <c r="T13" s="1602">
        <f t="shared" ca="1" si="0"/>
        <v>0</v>
      </c>
      <c r="U13" s="1603"/>
      <c r="V13" s="1602">
        <f t="shared" ca="1" si="1"/>
        <v>0</v>
      </c>
      <c r="W13" s="3281"/>
      <c r="X13" s="1616"/>
      <c r="Y13" s="1613">
        <f>(-0.163*(Y12^2)-0.59*Y12+7617)*(10^(-4))/Y11</f>
        <v>0.19939790575916233</v>
      </c>
      <c r="Z13" s="1613">
        <f t="shared" ref="Z13:AJ13" si="5">(-0.163*(Z12^2)-0.59*Z12+7617)*(10^(-4))/Z11</f>
        <v>0.19939790575916233</v>
      </c>
      <c r="AA13" s="1613">
        <f t="shared" si="5"/>
        <v>0.19939790575916233</v>
      </c>
      <c r="AB13" s="1613">
        <f t="shared" si="5"/>
        <v>0.19939790575916233</v>
      </c>
      <c r="AC13" s="1613">
        <f t="shared" si="5"/>
        <v>0.19939790575916233</v>
      </c>
      <c r="AD13" s="1613">
        <f t="shared" si="5"/>
        <v>0.19939790575916233</v>
      </c>
      <c r="AE13" s="1613">
        <f t="shared" si="5"/>
        <v>0.19939790575916233</v>
      </c>
      <c r="AF13" s="1613">
        <f t="shared" si="5"/>
        <v>0.19939790575916233</v>
      </c>
      <c r="AG13" s="1613">
        <f t="shared" si="5"/>
        <v>0.19939790575916233</v>
      </c>
      <c r="AH13" s="1613">
        <f t="shared" si="5"/>
        <v>0.19939790575916233</v>
      </c>
      <c r="AI13" s="1613">
        <f t="shared" si="5"/>
        <v>0.19939790575916233</v>
      </c>
      <c r="AJ13" s="1613">
        <f t="shared" si="5"/>
        <v>0.19939790575916233</v>
      </c>
    </row>
    <row r="14" spans="1:36" ht="15">
      <c r="A14" s="3286"/>
      <c r="B14" s="2766"/>
      <c r="C14" s="2956" t="s">
        <v>3057</v>
      </c>
      <c r="D14" s="2957" t="s">
        <v>3121</v>
      </c>
      <c r="E14" s="2957" t="s">
        <v>3057</v>
      </c>
      <c r="F14" s="2958" t="s">
        <v>3122</v>
      </c>
      <c r="G14" s="2768" t="s">
        <v>2868</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7"/>
      <c r="B15" s="2772" t="s">
        <v>2869</v>
      </c>
      <c r="C15" s="229">
        <f>IF(C14="有",1.1,1)</f>
        <v>1</v>
      </c>
      <c r="D15" s="229">
        <f>IF(D14="有",1.1,1)</f>
        <v>1.1000000000000001</v>
      </c>
      <c r="E15" s="229">
        <f>IF(E14="有",1.1,1)</f>
        <v>1</v>
      </c>
      <c r="F15" s="229">
        <f>IF(F14="500米范围内",1.2,IF(F14="500-1000米",1.1,1))</f>
        <v>1.1000000000000001</v>
      </c>
      <c r="G15" s="946">
        <v>1</v>
      </c>
      <c r="H15" s="946">
        <v>1</v>
      </c>
      <c r="I15" s="946">
        <v>1</v>
      </c>
      <c r="J15" s="947">
        <v>1</v>
      </c>
      <c r="K15" s="1370"/>
      <c r="L15" s="2773" t="s">
        <v>2805</v>
      </c>
      <c r="M15" s="917" t="s">
        <v>2870</v>
      </c>
      <c r="N15" s="917" t="s">
        <v>2871</v>
      </c>
      <c r="O15" s="917" t="s">
        <v>2872</v>
      </c>
      <c r="P15" s="2774" t="s">
        <v>2873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68" t="s">
        <v>2874</v>
      </c>
      <c r="B16" s="2743" t="s">
        <v>2875</v>
      </c>
      <c r="C16" s="1801">
        <f>ROUND(SUM(G17:J17)/C17,0)</f>
        <v>0</v>
      </c>
      <c r="D16" s="2775" t="s">
        <v>2876</v>
      </c>
      <c r="E16" s="2776" t="s">
        <v>3123</v>
      </c>
      <c r="F16" s="2777" t="s">
        <v>3124</v>
      </c>
      <c r="G16" s="2778"/>
      <c r="H16" s="2778"/>
      <c r="I16" s="2778"/>
      <c r="J16" s="2779"/>
      <c r="K16" s="1370"/>
      <c r="L16" s="2780" t="s">
        <v>2877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69"/>
      <c r="B17" s="2781" t="s">
        <v>2878</v>
      </c>
      <c r="C17" s="921">
        <f>SUMPRODUCT((修正!A2:A5=E2)*(修正!B1:M1=G2)*(修正!B2:M5))</f>
        <v>2</v>
      </c>
      <c r="D17" s="2782" t="s">
        <v>2879</v>
      </c>
      <c r="E17" s="920" t="str">
        <f>IF(OR(G2="八级",G2="九级",G2="十级",G2="十一级",G2="十二级"),"五通一平","七通一平")</f>
        <v>五通一平</v>
      </c>
      <c r="F17" s="921" t="s">
        <v>2880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8"/>
      <c r="AH17" s="2718"/>
      <c r="AI17" s="2718"/>
      <c r="AJ17" s="2718"/>
    </row>
    <row r="18" spans="1:37" s="2736" customFormat="1" ht="15.75" thickBot="1">
      <c r="A18" s="2785" t="s">
        <v>808</v>
      </c>
      <c r="B18" s="2786" t="s">
        <v>2882</v>
      </c>
      <c r="C18" s="923">
        <f>SUMIF(修正!C18:C39,E3,修正!E18:E39)</f>
        <v>0.9</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6" customFormat="1" ht="27.75" thickBot="1">
      <c r="A19" s="2785" t="s">
        <v>809</v>
      </c>
      <c r="B19" s="2786" t="s">
        <v>2883</v>
      </c>
      <c r="C19" s="924">
        <f>ROUND(IF(H19="按公示增长率计算",SUMPRODUCT((地价!A3:A24=YEAR(G19)&amp;"-"&amp;ROUNDUP(MONTH(G19)/3,0))*(地价!X2:AB2=E2)*(地价!X3:AB24)),IF(H19="地价指数",M20/M19,(1+I19)^O19)),4)</f>
        <v>1.3217000000000001</v>
      </c>
      <c r="D19" s="2793" t="s">
        <v>2884</v>
      </c>
      <c r="E19" s="925">
        <v>41640</v>
      </c>
      <c r="F19" s="2793" t="s">
        <v>2885</v>
      </c>
      <c r="G19" s="926">
        <f>'数据-取费表'!B2</f>
        <v>43439</v>
      </c>
      <c r="H19" s="2794" t="s">
        <v>3140</v>
      </c>
      <c r="I19" s="927" t="str">
        <f>IF(H19="季度增幅（自定义）",SUMIF(N21:N24,E2,O21:O24),"")</f>
        <v/>
      </c>
      <c r="J19" s="2791"/>
      <c r="K19" s="1377"/>
      <c r="L19" s="2795" t="s">
        <v>2886</v>
      </c>
      <c r="M19" s="1734">
        <f>ROUND(SUMIF(地价!B2:F2,E2,地价!B24:F24),0)</f>
        <v>258</v>
      </c>
      <c r="N19" s="2796" t="s">
        <v>2887</v>
      </c>
      <c r="O19" s="928">
        <f>ROUNDDOWN(DATEDIF(E19,G19,"M")/3,0)</f>
        <v>19</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6" customFormat="1" ht="27.75" thickBot="1">
      <c r="A20" s="2800" t="s">
        <v>810</v>
      </c>
      <c r="B20" s="2801" t="s">
        <v>2888</v>
      </c>
      <c r="C20" s="929">
        <f ca="1">ROUND(POWER(1+G20,J20-I20)*(POWER(1+G20,I20)-1)/(POWER(1+G20,J20)-1),4)</f>
        <v>0.92849999999999999</v>
      </c>
      <c r="D20" s="2802" t="s">
        <v>2889</v>
      </c>
      <c r="E20" s="1768">
        <f ca="1">存贷款利率!D4/100</f>
        <v>4.3499999999999997E-2</v>
      </c>
      <c r="F20" s="2802" t="s">
        <v>2881</v>
      </c>
      <c r="G20" s="934">
        <f ca="1">SUMIF(M15:P15,E2,M17:P17)</f>
        <v>5.1999999999999998E-2</v>
      </c>
      <c r="H20" s="2802" t="s">
        <v>2890</v>
      </c>
      <c r="I20" s="935">
        <f>SUMIF('数据-取费表'!C6:C15,E2,'数据-取费表'!F6:F15)/COUNTIF('数据-取费表'!C6:C15,E2)</f>
        <v>38.08</v>
      </c>
      <c r="J20" s="936">
        <f>IF(E2="住宅",70,IF(E2="商业",40,50))</f>
        <v>50</v>
      </c>
      <c r="K20" s="1377"/>
      <c r="L20" s="2803" t="s">
        <v>2891</v>
      </c>
      <c r="M20" s="1735">
        <f>ROUND(SUMPRODUCT((地价!A4:A24=YEAR(G19)&amp;"-"&amp;ROUNDUP(MONTH(G19)/3,0))*(地价!B2:F2=E2)*(地价!B4:F24)),0)</f>
        <v>341</v>
      </c>
      <c r="N20" s="2804" t="s">
        <v>2892</v>
      </c>
      <c r="O20" s="2805" t="s">
        <v>2893</v>
      </c>
      <c r="P20" s="2806" t="s">
        <v>2894</v>
      </c>
      <c r="R20" s="1376"/>
      <c r="S20" s="1376"/>
      <c r="T20" s="1371"/>
      <c r="U20" s="1371"/>
      <c r="V20" s="1371"/>
      <c r="W20" s="1370"/>
      <c r="X20" s="1370"/>
      <c r="Y20" s="1370"/>
      <c r="Z20" s="1377"/>
      <c r="AA20" s="1378"/>
      <c r="AB20" s="1378"/>
      <c r="AC20" s="1378"/>
      <c r="AD20" s="1378"/>
      <c r="AE20" s="1378"/>
      <c r="AF20" s="1378"/>
    </row>
    <row r="21" spans="1:37" s="2736" customFormat="1" ht="15">
      <c r="A21" s="2807" t="s">
        <v>811</v>
      </c>
      <c r="B21" s="2808" t="s">
        <v>3125</v>
      </c>
      <c r="C21" s="937">
        <f>IF(B21="容积率修正",IF(G3&lt;=10,D22,J22),C23)</f>
        <v>0.80020000000000002</v>
      </c>
      <c r="D21" s="2809"/>
      <c r="E21" s="2809"/>
      <c r="F21" s="2809"/>
      <c r="G21" s="2809"/>
      <c r="H21" s="2809"/>
      <c r="I21" s="2809"/>
      <c r="J21" s="2810"/>
      <c r="K21" s="1377"/>
      <c r="N21" s="2811" t="s">
        <v>2895</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6" customFormat="1" ht="14.25">
      <c r="A22" s="2662" t="s">
        <v>2896</v>
      </c>
      <c r="B22" s="2812" t="s">
        <v>2897</v>
      </c>
      <c r="C22" s="1810" t="s">
        <v>2898</v>
      </c>
      <c r="D22" s="1810">
        <f>IF(E22=G22,F22,IF(G3&lt;=10,ROUND(F22+(H22-F22)*(G3-E22)/(G22-E22),4),"——"))</f>
        <v>0.80020000000000002</v>
      </c>
      <c r="E22" s="913">
        <f>ROUNDDOWN(G3,1)</f>
        <v>3.8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0.80159999999999998</v>
      </c>
      <c r="G22" s="913">
        <f>ROUNDUP(G3,1)</f>
        <v>3.9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0.79479999999999995</v>
      </c>
      <c r="I22" s="1810" t="s">
        <v>155</v>
      </c>
      <c r="J22" s="938" t="str">
        <f>IF(G3&gt;10,D113,"——")</f>
        <v>——</v>
      </c>
      <c r="K22" s="1377"/>
      <c r="N22" s="2811" t="s">
        <v>2899</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2" t="s">
        <v>2900</v>
      </c>
      <c r="B23" s="2813" t="s">
        <v>2901</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2902</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2"/>
    </row>
    <row r="24" spans="1:37" s="2736" customFormat="1" ht="15.75" thickBot="1">
      <c r="A24" s="2800" t="s">
        <v>812</v>
      </c>
      <c r="B24" s="2786" t="s">
        <v>2903</v>
      </c>
      <c r="C24" s="924">
        <f>SUMIF(A45:A88,E2,B45:B88)</f>
        <v>0.97230000000000005</v>
      </c>
      <c r="D24" s="2789"/>
      <c r="E24" s="2819"/>
      <c r="F24" s="2819"/>
      <c r="G24" s="2819"/>
      <c r="H24" s="2819"/>
      <c r="I24" s="2819"/>
      <c r="J24" s="2820"/>
      <c r="K24" s="1377"/>
      <c r="N24" s="2821" t="s">
        <v>2904</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2905</v>
      </c>
      <c r="C25" s="930"/>
      <c r="D25" s="2746"/>
      <c r="E25" s="2746"/>
      <c r="F25" s="2823"/>
      <c r="G25" s="2746"/>
      <c r="H25" s="2746"/>
      <c r="I25" s="2746"/>
      <c r="J25" s="2747"/>
      <c r="K25" s="1370"/>
      <c r="N25" s="2824" t="s">
        <v>2906</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5"/>
      <c r="B26" s="2812" t="s">
        <v>2907</v>
      </c>
      <c r="C26" s="206">
        <f ca="1">E29+SUM(E33:E39)</f>
        <v>30590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2908</v>
      </c>
      <c r="C27" s="931">
        <f ca="1">E30+SUM(I33:I39)</f>
        <v>473</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2909</v>
      </c>
      <c r="C28" s="2836" t="s">
        <v>2910</v>
      </c>
      <c r="D28" s="2836" t="s">
        <v>2911</v>
      </c>
      <c r="E28" s="2837" t="s">
        <v>2912</v>
      </c>
      <c r="F28" s="2838"/>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2913</v>
      </c>
      <c r="C29" s="206">
        <f ca="1">ROUND(C5*C18*C19*C20*C21*C24,0)</f>
        <v>3463</v>
      </c>
      <c r="D29" s="2841">
        <f>'数据-汇总表'!F19</f>
        <v>82874.319999999978</v>
      </c>
      <c r="E29" s="942">
        <f ca="1">ROUND(C29*D29/10000,0)</f>
        <v>28699</v>
      </c>
      <c r="F29" s="2842" t="s">
        <v>2914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8"/>
      <c r="AH29" s="2718"/>
      <c r="AI29" s="2718"/>
      <c r="AJ29" s="2718"/>
    </row>
    <row r="30" spans="1:37" ht="25.5" thickBot="1">
      <c r="A30" s="2845"/>
      <c r="B30" s="2846" t="s">
        <v>2915</v>
      </c>
      <c r="C30" s="229">
        <f ca="1">ROUND(IF(E2="工业",C29*M39,C29*M38),0)</f>
        <v>866</v>
      </c>
      <c r="D30" s="2847"/>
      <c r="E30" s="942">
        <f ca="1">ROUND(C30*D30/10000,0)</f>
        <v>0</v>
      </c>
      <c r="F30" s="2848" t="s">
        <v>2916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8"/>
      <c r="AH30" s="2718"/>
      <c r="AI30" s="2718"/>
      <c r="AJ30" s="2718"/>
    </row>
    <row r="31" spans="1:37" ht="14.25">
      <c r="A31" s="2851"/>
      <c r="B31" s="2852" t="s">
        <v>2917</v>
      </c>
      <c r="C31" s="2853" t="s">
        <v>2918</v>
      </c>
      <c r="D31" s="2759"/>
      <c r="E31" s="2853"/>
      <c r="F31" s="2853"/>
      <c r="G31" s="2757" t="s">
        <v>2919</v>
      </c>
      <c r="H31" s="2759"/>
      <c r="I31" s="2854"/>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8"/>
      <c r="AH31" s="2718"/>
      <c r="AI31" s="2718"/>
      <c r="AJ31" s="2718"/>
    </row>
    <row r="32" spans="1:37" ht="24">
      <c r="A32" s="2839"/>
      <c r="B32" s="2855"/>
      <c r="C32" s="501" t="s">
        <v>2910</v>
      </c>
      <c r="D32" s="498" t="s">
        <v>2911</v>
      </c>
      <c r="E32" s="498" t="s">
        <v>2912</v>
      </c>
      <c r="F32" s="388" t="s">
        <v>2920</v>
      </c>
      <c r="G32" s="2856" t="s">
        <v>2910</v>
      </c>
      <c r="H32" s="2856" t="s">
        <v>2911</v>
      </c>
      <c r="I32" s="2856"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8"/>
      <c r="AH32" s="2718"/>
      <c r="AI32" s="2718"/>
      <c r="AJ32" s="2718"/>
    </row>
    <row r="33" spans="1:37" ht="36" customHeight="1">
      <c r="A33" s="3276" t="s">
        <v>2921</v>
      </c>
      <c r="B33" s="2857" t="s">
        <v>2922</v>
      </c>
      <c r="C33" s="206">
        <f ca="1">ROUND(D5*C19*C20*C24*F33,0)</f>
        <v>0</v>
      </c>
      <c r="D33" s="2841"/>
      <c r="E33" s="200">
        <f ca="1">ROUND(C33*D33/10000,0)</f>
        <v>0</v>
      </c>
      <c r="F33" s="200">
        <f>SUMIF(修正!A45:A56,G2,修正!B45:B56)</f>
        <v>0.6</v>
      </c>
      <c r="G33" s="200">
        <f t="shared" ref="G33"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7"/>
      <c r="B34" s="2763" t="s">
        <v>2923</v>
      </c>
      <c r="C34" s="206">
        <f ca="1">ROUND(D5*C19*C20*C24*F34,0)</f>
        <v>0</v>
      </c>
      <c r="D34" s="2841"/>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7"/>
      <c r="B35" s="2763" t="s">
        <v>2924</v>
      </c>
      <c r="C35" s="206">
        <f ca="1">ROUND(D5*C19*C20*C24*F35,0)</f>
        <v>0</v>
      </c>
      <c r="D35" s="2841"/>
      <c r="E35" s="200">
        <f t="shared" ca="1" si="7"/>
        <v>0</v>
      </c>
      <c r="F35" s="200">
        <f>SUMIF(修正!A45:A56,G2,修正!D45:D56)</f>
        <v>0.2</v>
      </c>
      <c r="G35" s="200">
        <f ca="1">ROUND(IF(E2="工业",C35*$M$39,C35*$M$38),0)</f>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78"/>
      <c r="B36" s="2763" t="s">
        <v>2925</v>
      </c>
      <c r="C36" s="206">
        <f ca="1">ROUND(D5*C19*C20*C24*F36,0)</f>
        <v>0</v>
      </c>
      <c r="D36" s="2841"/>
      <c r="E36" s="200">
        <f t="shared" ca="1" si="7"/>
        <v>0</v>
      </c>
      <c r="F36" s="200">
        <f>SUMIF(修正!A45:A56,G2,修正!E45:E56)</f>
        <v>0.2</v>
      </c>
      <c r="G36" s="200">
        <f ca="1">ROUND(IF(E2="工业",C36*$M$39,C36*$M$38),0)</f>
        <v>0</v>
      </c>
      <c r="H36" s="200">
        <f t="shared" si="8"/>
        <v>0</v>
      </c>
      <c r="I36" s="200">
        <f t="shared" ca="1" si="9"/>
        <v>0</v>
      </c>
      <c r="J36" s="2858"/>
      <c r="K36" s="1370"/>
      <c r="L36" s="2717"/>
      <c r="M36" s="2717"/>
      <c r="N36" s="1370"/>
      <c r="O36" s="1370"/>
      <c r="P36" s="1370"/>
      <c r="Q36" s="1370"/>
      <c r="R36" s="1370"/>
      <c r="S36" s="1370"/>
      <c r="T36" s="1370"/>
      <c r="U36" s="1370"/>
      <c r="V36" s="1370"/>
      <c r="W36" s="1370"/>
      <c r="X36" s="1370"/>
      <c r="Y36" s="1370"/>
      <c r="Z36" s="1371"/>
    </row>
    <row r="37" spans="1:37">
      <c r="A37" s="2859"/>
      <c r="B37" s="2763" t="s">
        <v>2926</v>
      </c>
      <c r="C37" s="200">
        <f ca="1">ROUND(C5*C19*C20*C24*F37,0)</f>
        <v>962</v>
      </c>
      <c r="D37" s="2841">
        <f>'数据-汇总表'!G20</f>
        <v>5713.75</v>
      </c>
      <c r="E37" s="200">
        <f t="shared" ca="1" si="7"/>
        <v>550</v>
      </c>
      <c r="F37" s="206">
        <f>SUMIF(修正!A45:A56,G2,修正!F45:F56)</f>
        <v>0.2</v>
      </c>
      <c r="G37" s="200">
        <f ca="1">ROUND(IF(E2="工业",C37*$M$39,C37*$M$38),0)</f>
        <v>241</v>
      </c>
      <c r="H37" s="200">
        <f t="shared" si="8"/>
        <v>5713.75</v>
      </c>
      <c r="I37" s="200">
        <f t="shared" ca="1" si="9"/>
        <v>138</v>
      </c>
      <c r="J37" s="2858"/>
      <c r="K37" s="1370"/>
      <c r="L37" s="2860" t="s">
        <v>2927</v>
      </c>
      <c r="M37" s="2861"/>
      <c r="N37" s="1370"/>
      <c r="O37" s="1370"/>
      <c r="P37" s="1370"/>
      <c r="Q37" s="1370"/>
      <c r="R37" s="1370"/>
      <c r="S37" s="1370"/>
      <c r="T37" s="1370"/>
      <c r="U37" s="1370"/>
      <c r="V37" s="1370"/>
      <c r="W37" s="1370"/>
      <c r="X37" s="1370"/>
      <c r="Y37" s="1370"/>
      <c r="Z37" s="1371"/>
    </row>
    <row r="38" spans="1:37">
      <c r="A38" s="2859"/>
      <c r="B38" s="2763" t="s">
        <v>2928</v>
      </c>
      <c r="C38" s="200">
        <f ca="1">ROUND(C5*C19*C20*C24*F38,0)</f>
        <v>962</v>
      </c>
      <c r="D38" s="2841"/>
      <c r="E38" s="200">
        <f t="shared" ca="1" si="7"/>
        <v>0</v>
      </c>
      <c r="F38" s="206">
        <f>SUMIF(修正!A45:A56,G2,修正!G45:G56)</f>
        <v>0.2</v>
      </c>
      <c r="G38" s="200">
        <f ca="1">ROUND(IF(E2="工业",C38*$M$39,C38*$M$38),0)</f>
        <v>241</v>
      </c>
      <c r="H38" s="200">
        <f t="shared" si="8"/>
        <v>0</v>
      </c>
      <c r="I38" s="200">
        <f t="shared" ca="1" si="9"/>
        <v>0</v>
      </c>
      <c r="J38" s="2858"/>
      <c r="K38" s="1370"/>
      <c r="L38" s="1887" t="s">
        <v>2929</v>
      </c>
      <c r="M38" s="2862">
        <v>0.25</v>
      </c>
      <c r="N38" s="1370"/>
      <c r="O38" s="1370"/>
      <c r="P38" s="1370"/>
      <c r="Q38" s="1370"/>
      <c r="R38" s="1370"/>
      <c r="S38" s="1370"/>
      <c r="T38" s="1370"/>
      <c r="U38" s="1370"/>
      <c r="V38" s="1370"/>
      <c r="W38" s="1370"/>
      <c r="X38" s="1370"/>
      <c r="Y38" s="1370"/>
      <c r="Z38" s="1371"/>
    </row>
    <row r="39" spans="1:37" ht="13.5" thickBot="1">
      <c r="A39" s="2845"/>
      <c r="B39" s="2863" t="s">
        <v>2930</v>
      </c>
      <c r="C39" s="229">
        <f ca="1">ROUND(C5*C19*C20*C24*F39,0)</f>
        <v>721</v>
      </c>
      <c r="D39" s="2847">
        <f>'数据-汇总表'!G21</f>
        <v>18596.150000000001</v>
      </c>
      <c r="E39" s="229">
        <f t="shared" ca="1" si="7"/>
        <v>1341</v>
      </c>
      <c r="F39" s="932">
        <f>SUMIF(修正!A45:A56,G2,修正!H45:H56)</f>
        <v>0.15</v>
      </c>
      <c r="G39" s="229">
        <f ca="1">ROUND(IF(E2="工业",C39*$M$39,C39*$M$38),0)</f>
        <v>180</v>
      </c>
      <c r="H39" s="229">
        <f t="shared" si="8"/>
        <v>18596.150000000001</v>
      </c>
      <c r="I39" s="229">
        <f t="shared" ca="1" si="9"/>
        <v>335</v>
      </c>
      <c r="J39" s="2864"/>
      <c r="K39" s="1370"/>
      <c r="L39" s="2865" t="s">
        <v>2873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2931</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70" t="s">
        <v>2932</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4" t="s">
        <v>2933</v>
      </c>
      <c r="B47" s="1809" t="s">
        <v>2934</v>
      </c>
      <c r="C47" s="1809" t="s">
        <v>2935</v>
      </c>
      <c r="D47" s="1809" t="s">
        <v>2936</v>
      </c>
      <c r="E47" s="816" t="s">
        <v>2937</v>
      </c>
      <c r="F47" s="2875" t="s">
        <v>2938</v>
      </c>
      <c r="G47" s="1809" t="s">
        <v>754</v>
      </c>
      <c r="H47" s="2876" t="s">
        <v>2939</v>
      </c>
      <c r="I47" s="1809" t="s">
        <v>2940</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hidden="1">
      <c r="A48" s="2874" t="s">
        <v>2941</v>
      </c>
      <c r="B48" s="2877" t="str">
        <f>估价对象房地状况!C4</f>
        <v>——</v>
      </c>
      <c r="C48" s="2767"/>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hidden="1">
      <c r="A49" s="2874" t="s">
        <v>2942</v>
      </c>
      <c r="B49" s="2878" t="str">
        <f>估价对象房地状况!C18</f>
        <v>周边有821等多条公交线路，北侧1.8km有南六环综合评价交通便捷度较差</v>
      </c>
      <c r="C49" s="2767"/>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hidden="1">
      <c r="A50" s="2874" t="s">
        <v>2943</v>
      </c>
      <c r="B50" s="2878" t="str">
        <f>估价对象房地状况!C19</f>
        <v>有部分住宅用地，区域土地利用方向基本一致</v>
      </c>
      <c r="C50" s="2767"/>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4" t="s">
        <v>2944</v>
      </c>
      <c r="B51" s="2879" t="s">
        <v>2945</v>
      </c>
      <c r="C51" s="2767"/>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4" t="s">
        <v>2946</v>
      </c>
      <c r="B52" s="2878" t="str">
        <f>估价对象房地状况!C24</f>
        <v>城市支路——房辛路</v>
      </c>
      <c r="C52" s="2767"/>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4" t="s">
        <v>2947</v>
      </c>
      <c r="B53" s="2880" t="s">
        <v>2948</v>
      </c>
      <c r="C53" s="2767"/>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63.75" hidden="1">
      <c r="A54" s="2881" t="s">
        <v>2949</v>
      </c>
      <c r="B54" s="1725" t="str">
        <f>估价对象房地状况!C21</f>
        <v>估价对象所在区域公共配套设施（超市：永辉超市(合生世界村店)、学校：海贝儿国际幼儿园）齐备度较差</v>
      </c>
      <c r="C54" s="2767"/>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1" t="s">
        <v>2950</v>
      </c>
      <c r="B55" s="2878" t="str">
        <f>估价对象房地状况!C22</f>
        <v>估价对象所在区域基础设施水平六通一平；</v>
      </c>
      <c r="C55" s="2767"/>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2" t="s">
        <v>2951</v>
      </c>
      <c r="B56" s="2883" t="str">
        <f>估价对象房地状况!C20</f>
        <v>区域自然环境：凉水河；人文环境无；综合评价环境状况一般</v>
      </c>
      <c r="C56" s="2767"/>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2952</v>
      </c>
      <c r="B57" s="2871">
        <f>1+E59</f>
        <v>0.97230000000000005</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2933</v>
      </c>
      <c r="B58" s="1809"/>
      <c r="C58" s="1809" t="s">
        <v>2935</v>
      </c>
      <c r="D58" s="1809" t="s">
        <v>2936</v>
      </c>
      <c r="E58" s="816" t="s">
        <v>2937</v>
      </c>
      <c r="F58" s="2875" t="s">
        <v>2953</v>
      </c>
      <c r="G58" s="1809" t="s">
        <v>754</v>
      </c>
      <c r="H58" s="2876" t="s">
        <v>2939</v>
      </c>
      <c r="I58" s="1809" t="s">
        <v>2940</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63.75">
      <c r="A59" s="2874" t="s">
        <v>2954</v>
      </c>
      <c r="B59" s="2877" t="str">
        <f>估价对象房地状况!C17</f>
        <v>估价对象位于国家环保产业园，周边办公楼项目较少，联动U谷，入驻率低，综合评价办公集聚程度较差</v>
      </c>
      <c r="C59" s="2767" t="s">
        <v>3137</v>
      </c>
      <c r="D59" s="1286">
        <f t="shared" ref="D59:D67" si="15">SUMIF($J$58:$N$58,C59,J59:N59)</f>
        <v>-1.4999999999999999E-2</v>
      </c>
      <c r="E59" s="818">
        <f>ROUND(SUM(D59:D67),4)</f>
        <v>-2.7699999999999999E-2</v>
      </c>
      <c r="F59" s="2499">
        <f>IF(E2="办公",SUMIF(L1:L12,G2,N1:N12),"——")</f>
        <v>0.15</v>
      </c>
      <c r="G59" s="1284">
        <v>1.4999999999999999E-2</v>
      </c>
      <c r="H59" s="1288">
        <f t="shared" ref="H59:H67" si="16">IFERROR(ROUNDDOWN($F$59*I59/2,4),"——")</f>
        <v>1.7999999999999999E-2</v>
      </c>
      <c r="I59" s="817">
        <v>0.24</v>
      </c>
      <c r="J59" s="1285">
        <f t="shared" ref="J59:J67" si="17">K59+$G59</f>
        <v>0.03</v>
      </c>
      <c r="K59" s="1285">
        <f t="shared" ref="K59:K67" si="18">$L59+$G59</f>
        <v>1.4999999999999999E-2</v>
      </c>
      <c r="L59" s="1285">
        <v>0</v>
      </c>
      <c r="M59" s="1285">
        <f t="shared" ref="M59:N67" si="19">L59-$G59</f>
        <v>-1.4999999999999999E-2</v>
      </c>
      <c r="N59" s="1285">
        <f t="shared" si="19"/>
        <v>-0.03</v>
      </c>
      <c r="AA59" s="1371"/>
      <c r="AB59" s="1371"/>
      <c r="AC59" s="1371"/>
      <c r="AD59" s="1371"/>
      <c r="AE59" s="1371"/>
      <c r="AF59" s="1371"/>
      <c r="AG59" s="1371"/>
      <c r="AH59" s="1371"/>
      <c r="AI59" s="1371"/>
      <c r="AJ59" s="1371"/>
      <c r="AK59" s="1371"/>
    </row>
    <row r="60" spans="1:37" s="1370" customFormat="1" ht="38.25">
      <c r="A60" s="2874" t="s">
        <v>2942</v>
      </c>
      <c r="B60" s="2878" t="str">
        <f>估价对象房地状况!C18</f>
        <v>周边有821等多条公交线路，北侧1.8km有南六环综合评价交通便捷度较差</v>
      </c>
      <c r="C60" s="2767" t="s">
        <v>3137</v>
      </c>
      <c r="D60" s="1286">
        <f t="shared" si="15"/>
        <v>-0.02</v>
      </c>
      <c r="E60" s="819"/>
      <c r="F60" s="2499"/>
      <c r="G60" s="1284">
        <v>0.02</v>
      </c>
      <c r="H60" s="1288">
        <f t="shared" si="16"/>
        <v>2.2499999999999999E-2</v>
      </c>
      <c r="I60" s="817">
        <v>0.3</v>
      </c>
      <c r="J60" s="1285">
        <f t="shared" si="17"/>
        <v>0.04</v>
      </c>
      <c r="K60" s="1285">
        <f t="shared" si="18"/>
        <v>0.02</v>
      </c>
      <c r="L60" s="1285">
        <v>0</v>
      </c>
      <c r="M60" s="1285">
        <f t="shared" si="19"/>
        <v>-0.02</v>
      </c>
      <c r="N60" s="1285">
        <f t="shared" si="19"/>
        <v>-0.04</v>
      </c>
      <c r="AA60" s="1371"/>
      <c r="AB60" s="1371"/>
      <c r="AC60" s="1371"/>
      <c r="AD60" s="1371"/>
      <c r="AE60" s="1371"/>
      <c r="AF60" s="1371"/>
      <c r="AG60" s="1371"/>
      <c r="AH60" s="1371"/>
      <c r="AI60" s="1371"/>
      <c r="AJ60" s="1371"/>
      <c r="AK60" s="1371"/>
    </row>
    <row r="61" spans="1:37" s="1370" customFormat="1" ht="25.5">
      <c r="A61" s="2874" t="s">
        <v>2943</v>
      </c>
      <c r="B61" s="2878" t="str">
        <f>估价对象房地状况!C19</f>
        <v>有部分住宅用地，区域土地利用方向基本一致</v>
      </c>
      <c r="C61" s="2767" t="s">
        <v>3138</v>
      </c>
      <c r="D61" s="1286">
        <f t="shared" si="15"/>
        <v>0</v>
      </c>
      <c r="E61" s="819"/>
      <c r="F61" s="2499"/>
      <c r="G61" s="1284">
        <v>5.0000000000000001E-3</v>
      </c>
      <c r="H61" s="1288">
        <f t="shared" si="16"/>
        <v>6.0000000000000001E-3</v>
      </c>
      <c r="I61" s="817">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48">
      <c r="A62" s="2874" t="s">
        <v>2944</v>
      </c>
      <c r="B62" s="2963" t="s">
        <v>3135</v>
      </c>
      <c r="C62" s="2767" t="s">
        <v>3139</v>
      </c>
      <c r="D62" s="1286">
        <f t="shared" si="15"/>
        <v>3.0000000000000001E-3</v>
      </c>
      <c r="E62" s="819"/>
      <c r="F62" s="2499"/>
      <c r="G62" s="1284">
        <v>3.0000000000000001E-3</v>
      </c>
      <c r="H62" s="1288">
        <f t="shared" si="16"/>
        <v>3.0000000000000001E-3</v>
      </c>
      <c r="I62" s="817">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4" t="s">
        <v>2946</v>
      </c>
      <c r="B63" s="2878" t="str">
        <f>估价对象房地状况!C24</f>
        <v>城市支路——房辛路</v>
      </c>
      <c r="C63" s="2767" t="s">
        <v>3137</v>
      </c>
      <c r="D63" s="1286">
        <f t="shared" si="15"/>
        <v>-3.5000000000000001E-3</v>
      </c>
      <c r="E63" s="819"/>
      <c r="F63" s="2499"/>
      <c r="G63" s="1284">
        <v>3.5000000000000001E-3</v>
      </c>
      <c r="H63" s="1288">
        <f t="shared" si="16"/>
        <v>3.7000000000000002E-3</v>
      </c>
      <c r="I63" s="817">
        <v>0.05</v>
      </c>
      <c r="J63" s="1285">
        <f t="shared" si="17"/>
        <v>7.0000000000000001E-3</v>
      </c>
      <c r="K63" s="1285">
        <f t="shared" si="18"/>
        <v>3.5000000000000001E-3</v>
      </c>
      <c r="L63" s="1285">
        <v>0</v>
      </c>
      <c r="M63" s="1285">
        <f t="shared" si="19"/>
        <v>-3.5000000000000001E-3</v>
      </c>
      <c r="N63" s="1285">
        <f t="shared" si="19"/>
        <v>-7.0000000000000001E-3</v>
      </c>
      <c r="AA63" s="1371"/>
      <c r="AB63" s="1371"/>
      <c r="AC63" s="1371"/>
      <c r="AD63" s="1371"/>
      <c r="AE63" s="1371"/>
      <c r="AF63" s="1371"/>
      <c r="AG63" s="1371"/>
      <c r="AH63" s="1371"/>
      <c r="AI63" s="1371"/>
      <c r="AJ63" s="1371"/>
      <c r="AK63" s="1371"/>
    </row>
    <row r="64" spans="1:37" s="1370" customFormat="1" ht="24">
      <c r="A64" s="2874" t="s">
        <v>2947</v>
      </c>
      <c r="B64" s="2964" t="s">
        <v>3136</v>
      </c>
      <c r="C64" s="2767" t="s">
        <v>3139</v>
      </c>
      <c r="D64" s="1286">
        <f t="shared" si="15"/>
        <v>3.5000000000000001E-3</v>
      </c>
      <c r="E64" s="819"/>
      <c r="F64" s="2499"/>
      <c r="G64" s="1284">
        <v>3.5000000000000001E-3</v>
      </c>
      <c r="H64" s="1288">
        <f t="shared" si="16"/>
        <v>3.7000000000000002E-3</v>
      </c>
      <c r="I64" s="817">
        <v>0.05</v>
      </c>
      <c r="J64" s="1285">
        <f t="shared" si="17"/>
        <v>7.0000000000000001E-3</v>
      </c>
      <c r="K64" s="1285">
        <f t="shared" si="18"/>
        <v>3.5000000000000001E-3</v>
      </c>
      <c r="L64" s="1285">
        <v>0</v>
      </c>
      <c r="M64" s="1285">
        <f t="shared" si="19"/>
        <v>-3.5000000000000001E-3</v>
      </c>
      <c r="N64" s="1285">
        <f t="shared" si="19"/>
        <v>-7.0000000000000001E-3</v>
      </c>
      <c r="AA64" s="1371"/>
      <c r="AB64" s="1371"/>
      <c r="AC64" s="1371"/>
      <c r="AD64" s="1371"/>
      <c r="AE64" s="1371"/>
      <c r="AF64" s="1371"/>
      <c r="AG64" s="1371"/>
      <c r="AH64" s="1371"/>
      <c r="AI64" s="1371"/>
      <c r="AJ64" s="1371"/>
      <c r="AK64" s="1371"/>
    </row>
    <row r="65" spans="1:37" s="1370" customFormat="1" ht="63.75">
      <c r="A65" s="2874" t="s">
        <v>2949</v>
      </c>
      <c r="B65" s="1725" t="str">
        <f>估价对象房地状况!C21</f>
        <v>估价对象所在区域公共配套设施（超市：永辉超市(合生世界村店)、学校：海贝儿国际幼儿园）齐备度较差</v>
      </c>
      <c r="C65" s="2767" t="s">
        <v>3137</v>
      </c>
      <c r="D65" s="1286">
        <f t="shared" si="15"/>
        <v>-4.1999999999999997E-3</v>
      </c>
      <c r="E65" s="819"/>
      <c r="F65" s="2499"/>
      <c r="G65" s="1284">
        <v>4.1999999999999997E-3</v>
      </c>
      <c r="H65" s="1288">
        <f t="shared" si="16"/>
        <v>4.4999999999999997E-3</v>
      </c>
      <c r="I65" s="817">
        <v>0.06</v>
      </c>
      <c r="J65" s="1285">
        <f t="shared" si="17"/>
        <v>8.3999999999999995E-3</v>
      </c>
      <c r="K65" s="1285">
        <f t="shared" si="18"/>
        <v>4.1999999999999997E-3</v>
      </c>
      <c r="L65" s="1285">
        <v>0</v>
      </c>
      <c r="M65" s="1285">
        <f t="shared" si="19"/>
        <v>-4.1999999999999997E-3</v>
      </c>
      <c r="N65" s="1285">
        <f t="shared" si="19"/>
        <v>-8.3999999999999995E-3</v>
      </c>
      <c r="AA65" s="1371"/>
      <c r="AB65" s="1371"/>
      <c r="AC65" s="1371"/>
      <c r="AD65" s="1371"/>
      <c r="AE65" s="1371"/>
      <c r="AF65" s="1371"/>
      <c r="AG65" s="1371"/>
      <c r="AH65" s="1371"/>
      <c r="AI65" s="1371"/>
      <c r="AJ65" s="1371"/>
      <c r="AK65" s="1371"/>
    </row>
    <row r="66" spans="1:37" s="1370" customFormat="1" ht="25.5">
      <c r="A66" s="2874" t="s">
        <v>2950</v>
      </c>
      <c r="B66" s="1725" t="str">
        <f>估价对象房地状况!C22</f>
        <v>估价对象所在区域基础设施水平六通一平；</v>
      </c>
      <c r="C66" s="2767" t="s">
        <v>3139</v>
      </c>
      <c r="D66" s="1286">
        <f t="shared" si="15"/>
        <v>8.5000000000000006E-3</v>
      </c>
      <c r="E66" s="819"/>
      <c r="F66" s="2499"/>
      <c r="G66" s="1284">
        <v>8.5000000000000006E-3</v>
      </c>
      <c r="H66" s="1288">
        <f t="shared" si="16"/>
        <v>8.9999999999999993E-3</v>
      </c>
      <c r="I66" s="817">
        <v>0.12</v>
      </c>
      <c r="J66" s="1285">
        <f t="shared" si="17"/>
        <v>1.7000000000000001E-2</v>
      </c>
      <c r="K66" s="1285">
        <f t="shared" si="18"/>
        <v>8.5000000000000006E-3</v>
      </c>
      <c r="L66" s="1285">
        <v>0</v>
      </c>
      <c r="M66" s="1285">
        <f t="shared" si="19"/>
        <v>-8.5000000000000006E-3</v>
      </c>
      <c r="N66" s="1285">
        <f t="shared" si="19"/>
        <v>-1.7000000000000001E-2</v>
      </c>
      <c r="AA66" s="1371"/>
      <c r="AB66" s="1371"/>
      <c r="AC66" s="1371"/>
      <c r="AD66" s="1371"/>
      <c r="AE66" s="1371"/>
      <c r="AF66" s="1371"/>
      <c r="AG66" s="1371"/>
      <c r="AH66" s="1371"/>
      <c r="AI66" s="1371"/>
      <c r="AJ66" s="1371"/>
      <c r="AK66" s="1371"/>
    </row>
    <row r="67" spans="1:37" s="1370" customFormat="1" ht="39" thickBot="1">
      <c r="A67" s="2882" t="s">
        <v>2951</v>
      </c>
      <c r="B67" s="2884" t="str">
        <f>估价对象房地状况!C20</f>
        <v>区域自然环境：凉水河；人文环境无；综合评价环境状况一般</v>
      </c>
      <c r="C67" s="2767" t="s">
        <v>3138</v>
      </c>
      <c r="D67" s="1286">
        <f t="shared" si="15"/>
        <v>0</v>
      </c>
      <c r="E67" s="822"/>
      <c r="F67" s="2499"/>
      <c r="G67" s="1284">
        <v>4.0000000000000001E-3</v>
      </c>
      <c r="H67" s="1288">
        <f t="shared" si="16"/>
        <v>4.4999999999999997E-3</v>
      </c>
      <c r="I67" s="821">
        <v>0.06</v>
      </c>
      <c r="J67" s="1285">
        <f t="shared" si="17"/>
        <v>8.0000000000000002E-3</v>
      </c>
      <c r="K67" s="1285">
        <f t="shared" si="18"/>
        <v>4.0000000000000001E-3</v>
      </c>
      <c r="L67" s="1285">
        <v>0</v>
      </c>
      <c r="M67" s="1285">
        <f t="shared" si="19"/>
        <v>-4.0000000000000001E-3</v>
      </c>
      <c r="N67" s="1285">
        <f t="shared" si="19"/>
        <v>-8.0000000000000002E-3</v>
      </c>
      <c r="AA67" s="1371"/>
      <c r="AB67" s="1371"/>
      <c r="AC67" s="1371"/>
      <c r="AD67" s="1371"/>
      <c r="AE67" s="1371"/>
      <c r="AF67" s="1371"/>
      <c r="AG67" s="1371"/>
      <c r="AH67" s="1371"/>
      <c r="AI67" s="1371"/>
      <c r="AJ67" s="1371"/>
      <c r="AK67" s="1371"/>
    </row>
    <row r="68" spans="1:37" s="1370" customFormat="1" ht="15" hidden="1">
      <c r="A68" s="2870" t="s">
        <v>2955</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4" t="s">
        <v>2933</v>
      </c>
      <c r="B69" s="1809"/>
      <c r="C69" s="1809" t="s">
        <v>2935</v>
      </c>
      <c r="D69" s="1809" t="s">
        <v>2936</v>
      </c>
      <c r="E69" s="816" t="s">
        <v>2937</v>
      </c>
      <c r="F69" s="2875" t="s">
        <v>2953</v>
      </c>
      <c r="G69" s="1809" t="s">
        <v>754</v>
      </c>
      <c r="H69" s="2876" t="s">
        <v>2939</v>
      </c>
      <c r="I69" s="1809" t="s">
        <v>2940</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hidden="1">
      <c r="A70" s="2874" t="s">
        <v>2956</v>
      </c>
      <c r="B70" s="2877" t="str">
        <f>估价对象房地状况!C15</f>
        <v>——</v>
      </c>
      <c r="C70" s="2767"/>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hidden="1">
      <c r="A71" s="2874" t="s">
        <v>2942</v>
      </c>
      <c r="B71" s="2878" t="str">
        <f>估价对象房地状况!C18</f>
        <v>周边有821等多条公交线路，北侧1.8km有南六环综合评价交通便捷度较差</v>
      </c>
      <c r="C71" s="2767"/>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5.5" hidden="1">
      <c r="A72" s="2874" t="s">
        <v>2943</v>
      </c>
      <c r="B72" s="2878" t="str">
        <f>估价对象房地状况!C19</f>
        <v>有部分住宅用地，区域土地利用方向基本一致</v>
      </c>
      <c r="C72" s="2767"/>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4" t="s">
        <v>2957</v>
      </c>
      <c r="B73" s="2878" t="str">
        <f>估价对象房地状况!C24</f>
        <v>城市支路——房辛路</v>
      </c>
      <c r="C73" s="2767"/>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63.75" hidden="1">
      <c r="A74" s="2874" t="s">
        <v>2949</v>
      </c>
      <c r="B74" s="1725" t="str">
        <f>估价对象房地状况!C21</f>
        <v>估价对象所在区域公共配套设施（超市：永辉超市(合生世界村店)、学校：海贝儿国际幼儿园）齐备度较差</v>
      </c>
      <c r="C74" s="2767"/>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4" t="s">
        <v>2950</v>
      </c>
      <c r="B75" s="1725" t="str">
        <f>估价对象房地状况!C22</f>
        <v>估价对象所在区域基础设施水平六通一平；</v>
      </c>
      <c r="C75" s="2767"/>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74" t="s">
        <v>2947</v>
      </c>
      <c r="B76" s="2880" t="s">
        <v>2948</v>
      </c>
      <c r="C76" s="2767"/>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hidden="1">
      <c r="A77" s="2874" t="s">
        <v>2951</v>
      </c>
      <c r="B77" s="2877" t="str">
        <f>估价对象房地状况!C20</f>
        <v>区域自然环境：凉水河；人文环境无；综合评价环境状况一般</v>
      </c>
      <c r="C77" s="2767"/>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2"/>
      <c r="AG77" s="1372"/>
      <c r="AK77" s="2792"/>
    </row>
    <row r="78" spans="1:37" ht="24.75" hidden="1" thickBot="1">
      <c r="A78" s="2882" t="s">
        <v>2958</v>
      </c>
      <c r="B78" s="2886"/>
      <c r="C78" s="2767"/>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2"/>
      <c r="AG78" s="1372"/>
      <c r="AK78" s="2792"/>
    </row>
    <row r="79" spans="1:37" ht="15" hidden="1">
      <c r="A79" s="2870" t="s">
        <v>2959</v>
      </c>
      <c r="B79" s="2871">
        <f>1+E81</f>
        <v>1</v>
      </c>
      <c r="C79" s="811"/>
      <c r="D79" s="811"/>
      <c r="E79" s="812"/>
      <c r="F79" s="2873"/>
      <c r="G79" s="6"/>
      <c r="H79" s="6"/>
      <c r="I79" s="6"/>
      <c r="J79" s="7"/>
      <c r="K79" s="7"/>
      <c r="L79" s="7"/>
      <c r="M79" s="7"/>
      <c r="N79" s="7"/>
      <c r="Z79" s="2718"/>
      <c r="AA79" s="2792"/>
      <c r="AG79" s="1372"/>
      <c r="AK79" s="2792"/>
    </row>
    <row r="80" spans="1:37" ht="24.75" hidden="1">
      <c r="A80" s="2874" t="s">
        <v>2933</v>
      </c>
      <c r="B80" s="1809"/>
      <c r="C80" s="1809" t="s">
        <v>2935</v>
      </c>
      <c r="D80" s="1809" t="s">
        <v>2936</v>
      </c>
      <c r="E80" s="816" t="s">
        <v>2937</v>
      </c>
      <c r="F80" s="2875" t="s">
        <v>2953</v>
      </c>
      <c r="G80" s="1809" t="s">
        <v>754</v>
      </c>
      <c r="H80" s="2876" t="s">
        <v>2939</v>
      </c>
      <c r="I80" s="1809" t="s">
        <v>2940</v>
      </c>
      <c r="J80" s="603" t="s">
        <v>2588</v>
      </c>
      <c r="K80" s="603" t="s">
        <v>2589</v>
      </c>
      <c r="L80" s="603" t="s">
        <v>2590</v>
      </c>
      <c r="M80" s="603" t="s">
        <v>2591</v>
      </c>
      <c r="N80" s="603" t="s">
        <v>2592</v>
      </c>
      <c r="Z80" s="2718"/>
      <c r="AA80" s="2792"/>
      <c r="AG80" s="1372"/>
      <c r="AK80" s="2792"/>
    </row>
    <row r="81" spans="1:37" ht="38.25" hidden="1">
      <c r="A81" s="2874" t="s">
        <v>2960</v>
      </c>
      <c r="B81" s="2878" t="str">
        <f>估价对象房地状况!G15</f>
        <v>估价对象位于XX开发区，园区建设成熟度XX，产业集聚程度XX</v>
      </c>
      <c r="C81" s="2767"/>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2"/>
      <c r="AG81" s="1372"/>
      <c r="AK81" s="2792"/>
    </row>
    <row r="82" spans="1:37" ht="51" hidden="1">
      <c r="A82" s="2874" t="s">
        <v>2942</v>
      </c>
      <c r="B82" s="2878" t="str">
        <f>估价对象房地状况!G16</f>
        <v>估价对象周边道路状况、公共交通通达情况、停车便捷程度，综合评价交通便捷度较好</v>
      </c>
      <c r="C82" s="2767"/>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2"/>
      <c r="AG82" s="1372"/>
      <c r="AK82" s="2792"/>
    </row>
    <row r="83" spans="1:37" ht="24" hidden="1">
      <c r="A83" s="2874" t="s">
        <v>2943</v>
      </c>
      <c r="B83" s="2878">
        <f>估价对象房地状况!G17</f>
        <v>0</v>
      </c>
      <c r="C83" s="2767"/>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2"/>
      <c r="AG83" s="1372"/>
      <c r="AK83" s="2792"/>
    </row>
    <row r="84" spans="1:37" ht="14.25" hidden="1">
      <c r="A84" s="2874" t="s">
        <v>2957</v>
      </c>
      <c r="B84" s="2878">
        <f>估价对象房地状况!G22</f>
        <v>0</v>
      </c>
      <c r="C84" s="2767"/>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2"/>
      <c r="AG84" s="1372"/>
      <c r="AK84" s="2792"/>
    </row>
    <row r="85" spans="1:37" ht="25.5" hidden="1">
      <c r="A85" s="2874" t="s">
        <v>2949</v>
      </c>
      <c r="B85" s="1725" t="str">
        <f>估价对象房地状况!G19</f>
        <v>估价对象所在区域公共配套设施齐备情况</v>
      </c>
      <c r="C85" s="2767"/>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2"/>
      <c r="AG85" s="1372"/>
      <c r="AK85" s="2792"/>
    </row>
    <row r="86" spans="1:37" ht="25.5" hidden="1">
      <c r="A86" s="2874" t="s">
        <v>2950</v>
      </c>
      <c r="B86" s="1725" t="str">
        <f>估价对象房地状况!G20</f>
        <v>估价对象所在区域基础设施水平</v>
      </c>
      <c r="C86" s="2767"/>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2"/>
      <c r="AG86" s="1372"/>
      <c r="AK86" s="2792"/>
    </row>
    <row r="87" spans="1:37" ht="24" hidden="1">
      <c r="A87" s="2874" t="s">
        <v>2947</v>
      </c>
      <c r="B87" s="2880" t="s">
        <v>2961</v>
      </c>
      <c r="C87" s="2767"/>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2"/>
      <c r="AG87" s="1372"/>
      <c r="AK87" s="2792"/>
    </row>
    <row r="88" spans="1:37" ht="39" hidden="1" thickBot="1">
      <c r="A88" s="2882" t="s">
        <v>2962</v>
      </c>
      <c r="B88" s="2887" t="str">
        <f>估价对象房地状况!G18</f>
        <v>该园区内是否有污染型企业，绿化情况，卫生条件，整体环境状况判断</v>
      </c>
      <c r="C88" s="2767"/>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2"/>
      <c r="AG88" s="1372"/>
      <c r="AK88" s="2792"/>
    </row>
    <row r="90" spans="1:37">
      <c r="A90" s="3270" t="s">
        <v>2963</v>
      </c>
      <c r="B90" s="3270"/>
      <c r="C90" s="3270"/>
      <c r="D90" s="3270"/>
      <c r="E90" s="3270"/>
      <c r="F90" s="3270"/>
      <c r="G90" s="3270"/>
      <c r="H90" s="3270"/>
      <c r="I90" s="3270"/>
      <c r="J90" s="3270"/>
      <c r="K90" s="2888"/>
      <c r="L90" s="2888"/>
      <c r="M90" s="2888"/>
      <c r="N90" s="2888"/>
    </row>
    <row r="91" spans="1:37">
      <c r="A91" s="3272" t="s">
        <v>2964</v>
      </c>
      <c r="B91" s="3272" t="s">
        <v>2965</v>
      </c>
      <c r="C91" s="2842" t="s">
        <v>2966</v>
      </c>
      <c r="D91" s="2843"/>
      <c r="E91" s="2843"/>
      <c r="F91" s="2843"/>
      <c r="G91" s="2843"/>
      <c r="H91" s="2843"/>
      <c r="I91" s="2843"/>
      <c r="J91" s="2889"/>
      <c r="K91" s="2890"/>
      <c r="L91" s="2890"/>
      <c r="M91" s="2890"/>
      <c r="N91" s="2890"/>
    </row>
    <row r="92" spans="1:37">
      <c r="A92" s="3272"/>
      <c r="B92" s="327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73"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4"/>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3" t="s">
        <v>2968</v>
      </c>
      <c r="B101" s="2895" t="s">
        <v>2969</v>
      </c>
      <c r="C101" s="2896">
        <f>$G$3</f>
        <v>3.82</v>
      </c>
      <c r="D101" s="2896">
        <f t="shared" ref="D101:N101" si="31">$G$3</f>
        <v>3.82</v>
      </c>
      <c r="E101" s="2896">
        <f t="shared" si="31"/>
        <v>3.82</v>
      </c>
      <c r="F101" s="2896">
        <f t="shared" si="31"/>
        <v>3.82</v>
      </c>
      <c r="G101" s="2896">
        <f t="shared" si="31"/>
        <v>3.82</v>
      </c>
      <c r="H101" s="2896">
        <f t="shared" si="31"/>
        <v>3.82</v>
      </c>
      <c r="I101" s="2896">
        <f t="shared" si="31"/>
        <v>3.82</v>
      </c>
      <c r="J101" s="2896">
        <f t="shared" si="31"/>
        <v>3.82</v>
      </c>
      <c r="K101" s="2896">
        <f t="shared" si="31"/>
        <v>3.82</v>
      </c>
      <c r="L101" s="2896">
        <f t="shared" si="31"/>
        <v>3.82</v>
      </c>
      <c r="M101" s="2896">
        <f t="shared" si="31"/>
        <v>3.82</v>
      </c>
      <c r="N101" s="2896">
        <f t="shared" si="31"/>
        <v>3.82</v>
      </c>
    </row>
    <row r="102" spans="1:14">
      <c r="A102" s="3274"/>
      <c r="B102" s="2891">
        <v>1</v>
      </c>
      <c r="C102" s="2892">
        <f>1.9362/C101</f>
        <v>0.50685863874345549</v>
      </c>
      <c r="D102" s="2892">
        <f>1.9362/D101</f>
        <v>0.50685863874345549</v>
      </c>
      <c r="E102" s="2892">
        <f>1.8629/E101</f>
        <v>0.48767015706806283</v>
      </c>
      <c r="F102" s="2892">
        <f>1.8629/F101</f>
        <v>0.48767015706806283</v>
      </c>
      <c r="G102" s="2892">
        <f>1.8629/G101</f>
        <v>0.48767015706806283</v>
      </c>
      <c r="H102" s="2892">
        <f>1.8629/H101</f>
        <v>0.48767015706806283</v>
      </c>
      <c r="I102" s="2892">
        <f>1.8629/I101</f>
        <v>0.48767015706806283</v>
      </c>
      <c r="J102" s="2892">
        <f>1.942/J101</f>
        <v>0.5083769633507853</v>
      </c>
      <c r="K102" s="2892">
        <f>1.942/K101</f>
        <v>0.5083769633507853</v>
      </c>
      <c r="L102" s="2892">
        <f>1.942/L101</f>
        <v>0.5083769633507853</v>
      </c>
      <c r="M102" s="2892">
        <f>1.942/M101</f>
        <v>0.5083769633507853</v>
      </c>
      <c r="N102" s="2892">
        <f>1.942/N101</f>
        <v>0.5083769633507853</v>
      </c>
    </row>
    <row r="103" spans="1:14">
      <c r="A103" s="3274"/>
      <c r="B103" s="2891">
        <v>2</v>
      </c>
      <c r="C103" s="2892">
        <f>1.4198/C101</f>
        <v>0.37167539267015709</v>
      </c>
      <c r="D103" s="2892">
        <f>1.4198/D101</f>
        <v>0.37167539267015709</v>
      </c>
      <c r="E103" s="2892">
        <f>1.3372/E101</f>
        <v>0.35005235602094242</v>
      </c>
      <c r="F103" s="2892">
        <f>1.3372/F101</f>
        <v>0.35005235602094242</v>
      </c>
      <c r="G103" s="2892">
        <f>1.3372/G101</f>
        <v>0.35005235602094242</v>
      </c>
      <c r="H103" s="2892">
        <f>1.3372/H101</f>
        <v>0.35005235602094242</v>
      </c>
      <c r="I103" s="2892">
        <f>1.3372/I101</f>
        <v>0.35005235602094242</v>
      </c>
      <c r="J103" s="2892">
        <f>1.2799/J101</f>
        <v>0.33505235602094241</v>
      </c>
      <c r="K103" s="2892">
        <f>1.2799/K101</f>
        <v>0.33505235602094241</v>
      </c>
      <c r="L103" s="2892">
        <f>1.2799/L101</f>
        <v>0.33505235602094241</v>
      </c>
      <c r="M103" s="2892">
        <f>1.2799/M101</f>
        <v>0.33505235602094241</v>
      </c>
      <c r="N103" s="2892">
        <f>1.2799/N101</f>
        <v>0.33505235602094241</v>
      </c>
    </row>
    <row r="104" spans="1:14">
      <c r="A104" s="3274"/>
      <c r="B104" s="2891">
        <v>3</v>
      </c>
      <c r="C104" s="2892">
        <f>1.1594/C101</f>
        <v>0.30350785340314135</v>
      </c>
      <c r="D104" s="2892">
        <f>1.1594/D101</f>
        <v>0.30350785340314135</v>
      </c>
      <c r="E104" s="2892">
        <f>1.0788/E101</f>
        <v>0.2824083769633508</v>
      </c>
      <c r="F104" s="2892">
        <f>1.0788/F101</f>
        <v>0.2824083769633508</v>
      </c>
      <c r="G104" s="2892">
        <f>1.0788/G101</f>
        <v>0.2824083769633508</v>
      </c>
      <c r="H104" s="2892">
        <f>1.0788/H101</f>
        <v>0.2824083769633508</v>
      </c>
      <c r="I104" s="2892">
        <f>1.0788/I101</f>
        <v>0.2824083769633508</v>
      </c>
      <c r="J104" s="2892">
        <f>1.0072/J101</f>
        <v>0.26366492146596865</v>
      </c>
      <c r="K104" s="2892">
        <f>1.0072/K101</f>
        <v>0.26366492146596865</v>
      </c>
      <c r="L104" s="2892">
        <f>1.0072/L101</f>
        <v>0.26366492146596865</v>
      </c>
      <c r="M104" s="2892">
        <f>1.0072/M101</f>
        <v>0.26366492146596865</v>
      </c>
      <c r="N104" s="2892">
        <f>1.0072/N101</f>
        <v>0.26366492146596865</v>
      </c>
    </row>
    <row r="105" spans="1:14">
      <c r="A105" s="3274"/>
      <c r="B105" s="2891">
        <v>4</v>
      </c>
      <c r="C105" s="2892">
        <f>0.9622/C101</f>
        <v>0.25188481675392671</v>
      </c>
      <c r="D105" s="2892">
        <f>0.9622/D101</f>
        <v>0.25188481675392671</v>
      </c>
      <c r="E105" s="2892">
        <f>0.8656/E101</f>
        <v>0.22659685863874349</v>
      </c>
      <c r="F105" s="2892">
        <f>0.8656/F101</f>
        <v>0.22659685863874349</v>
      </c>
      <c r="G105" s="2892">
        <f>0.8656/G101</f>
        <v>0.22659685863874349</v>
      </c>
      <c r="H105" s="2892">
        <f>0.8656/H101</f>
        <v>0.22659685863874349</v>
      </c>
      <c r="I105" s="2892">
        <f>0.8656/I101</f>
        <v>0.22659685863874349</v>
      </c>
      <c r="J105" s="2892">
        <f>0.7525/J101</f>
        <v>0.19698952879581152</v>
      </c>
      <c r="K105" s="2892">
        <f>0.7525/K101</f>
        <v>0.19698952879581152</v>
      </c>
      <c r="L105" s="2892">
        <f>0.7525/L101</f>
        <v>0.19698952879581152</v>
      </c>
      <c r="M105" s="2892">
        <f>0.7525/M101</f>
        <v>0.19698952879581152</v>
      </c>
      <c r="N105" s="2892">
        <f>0.7525/N101</f>
        <v>0.19698952879581152</v>
      </c>
    </row>
    <row r="106" spans="1:14">
      <c r="A106" s="3274"/>
      <c r="B106" s="2891">
        <v>5</v>
      </c>
      <c r="C106" s="2892">
        <f>0.8417/C101</f>
        <v>0.22034031413612568</v>
      </c>
      <c r="D106" s="2892">
        <f>0.8417/D101</f>
        <v>0.22034031413612568</v>
      </c>
      <c r="E106" s="2892">
        <f>0.7371/E101</f>
        <v>0.19295811518324607</v>
      </c>
      <c r="F106" s="2892">
        <f>0.7371/F101</f>
        <v>0.19295811518324607</v>
      </c>
      <c r="G106" s="2892">
        <f>0.7371/G101</f>
        <v>0.19295811518324607</v>
      </c>
      <c r="H106" s="2892">
        <f>0.7371/H101</f>
        <v>0.19295811518324607</v>
      </c>
      <c r="I106" s="2892">
        <f>0.7371/I101</f>
        <v>0.19295811518324607</v>
      </c>
      <c r="J106" s="2892">
        <f>0.5659/J101</f>
        <v>0.14814136125654451</v>
      </c>
      <c r="K106" s="2892">
        <f>0.5659/K101</f>
        <v>0.14814136125654451</v>
      </c>
      <c r="L106" s="2892">
        <f>0.5659/L101</f>
        <v>0.14814136125654451</v>
      </c>
      <c r="M106" s="2892">
        <f>0.5659/M101</f>
        <v>0.14814136125654451</v>
      </c>
      <c r="N106" s="2892">
        <f>0.5659/N101</f>
        <v>0.14814136125654451</v>
      </c>
    </row>
    <row r="107" spans="1:14">
      <c r="A107" s="3274"/>
      <c r="B107" s="2891">
        <v>6</v>
      </c>
      <c r="C107" s="2892">
        <f>0.7608/C101</f>
        <v>0.19916230366492149</v>
      </c>
      <c r="D107" s="2892">
        <f>0.7608/D101</f>
        <v>0.19916230366492149</v>
      </c>
      <c r="E107" s="2892">
        <f>0.6482/E101</f>
        <v>0.16968586387434556</v>
      </c>
      <c r="F107" s="2892">
        <f>0.6482/F101</f>
        <v>0.16968586387434556</v>
      </c>
      <c r="G107" s="2892">
        <f>0.6482/G101</f>
        <v>0.16968586387434556</v>
      </c>
      <c r="H107" s="2892">
        <f>0.6482/H101</f>
        <v>0.16968586387434556</v>
      </c>
      <c r="I107" s="2892">
        <f>0.6482/I101</f>
        <v>0.16968586387434556</v>
      </c>
      <c r="J107" s="2892">
        <f>0.4525/J101</f>
        <v>0.11845549738219896</v>
      </c>
      <c r="K107" s="2892">
        <f>0.4525/K101</f>
        <v>0.11845549738219896</v>
      </c>
      <c r="L107" s="2892">
        <f>0.4525/L101</f>
        <v>0.11845549738219896</v>
      </c>
      <c r="M107" s="2892">
        <f>0.4525/M101</f>
        <v>0.11845549738219896</v>
      </c>
      <c r="N107" s="2892">
        <f>0.4525/N101</f>
        <v>0.11845549738219896</v>
      </c>
    </row>
    <row r="108" spans="1:14">
      <c r="A108" s="3274"/>
      <c r="B108" s="3102" t="s">
        <v>2970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03"/>
      <c r="C109" s="2894">
        <f>(-0.163*(C108^2)-0.59*C108+7617)*(10^(-4))/C101</f>
        <v>0.19939790575916233</v>
      </c>
      <c r="D109" s="2894">
        <f>(-0.163*(D108^2)-0.59*D108+7617)*(10^(-4))/D101</f>
        <v>0.19939790575916233</v>
      </c>
      <c r="E109" s="2894">
        <f>(-0.161*(E108^2)-7.509*E108+6533)*(10^(-4))/E101</f>
        <v>0.17102094240837698</v>
      </c>
      <c r="F109" s="2894">
        <f>(-0.161*(F108^2)-7.509*F108+6533)*(10^(-4))/F101</f>
        <v>0.17102094240837698</v>
      </c>
      <c r="G109" s="2894">
        <f>(-0.161*(G108^2)-7.509*G108+6533)*(10^(-4))/G101</f>
        <v>0.17102094240837698</v>
      </c>
      <c r="H109" s="2894">
        <f>(-0.161*(H108^2)-7.509*H108+6533)*(10^(-4))/H101</f>
        <v>0.17102094240837698</v>
      </c>
      <c r="I109" s="2894">
        <f>(-0.161*(I108^2)-7.509*I108+6533)*(10^(-4))/I101</f>
        <v>0.17102094240837698</v>
      </c>
      <c r="J109" s="2894">
        <f>(-0.214*(J108^2)-21.991*J108+4665)*(10^(-4))/J101</f>
        <v>0.12212041884816754</v>
      </c>
      <c r="K109" s="2894">
        <f>(-0.214*(K108^2)-21.991*K108+4665)*(10^(-4))/K101</f>
        <v>0.12212041884816754</v>
      </c>
      <c r="L109" s="2894">
        <f>(-0.214*(L108^2)-21.991*L108+4665)*(10^(-4))/L101</f>
        <v>0.12212041884816754</v>
      </c>
      <c r="M109" s="2894">
        <f>(-0.214*(M108^2)-21.991*M108+4665)*(10^(-4))/M101</f>
        <v>0.12212041884816754</v>
      </c>
      <c r="N109" s="2894">
        <f>(-0.214*(N108^2)-21.991*N108+4665)*(10^(-4))/N101</f>
        <v>0.12212041884816754</v>
      </c>
    </row>
    <row r="110" spans="1:14">
      <c r="A110" s="3271" t="s">
        <v>2971</v>
      </c>
      <c r="B110" s="3271"/>
      <c r="C110" s="3271"/>
      <c r="D110" s="3271"/>
      <c r="E110" s="3271"/>
      <c r="F110" s="3271"/>
      <c r="G110" s="3271"/>
      <c r="H110" s="3271"/>
      <c r="I110" s="3271"/>
      <c r="J110" s="3271"/>
      <c r="K110" s="2897"/>
      <c r="L110" s="2897"/>
      <c r="M110" s="2897"/>
      <c r="N110" s="2897"/>
    </row>
    <row r="112" spans="1:14" ht="13.5" thickBot="1"/>
    <row r="113" spans="1:13" ht="25.5" thickBot="1">
      <c r="A113" s="900" t="s">
        <v>2972</v>
      </c>
      <c r="B113" s="1287">
        <f>G3</f>
        <v>3.82</v>
      </c>
      <c r="C113" s="901" t="s">
        <v>2973</v>
      </c>
      <c r="D113" s="902">
        <f>SUMPRODUCT((A115:A118=F113)*(B114:M114=H113)*B115:M118)</f>
        <v>0.71589999999999998</v>
      </c>
      <c r="E113" s="2722" t="s">
        <v>2805</v>
      </c>
      <c r="F113" s="2899" t="str">
        <f>E2</f>
        <v>办公</v>
      </c>
      <c r="G113" s="2722" t="s">
        <v>2806</v>
      </c>
      <c r="H113" s="2899" t="str">
        <f>G2</f>
        <v>九级</v>
      </c>
      <c r="I113" s="2722"/>
      <c r="J113" s="2900"/>
      <c r="K113" s="2900"/>
      <c r="L113" s="2900"/>
      <c r="M113" s="2900"/>
    </row>
    <row r="114" spans="1:13">
      <c r="A114" s="905"/>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6" t="s">
        <v>2870</v>
      </c>
      <c r="B115" s="907">
        <f>ROUND(0.9335-0.0094*B113,4)</f>
        <v>0.89759999999999995</v>
      </c>
      <c r="C115" s="907">
        <f>B115</f>
        <v>0.89759999999999995</v>
      </c>
      <c r="D115" s="907">
        <f>ROUND(0.8331-0.0109*B113,4)</f>
        <v>0.79149999999999998</v>
      </c>
      <c r="E115" s="907">
        <f>D115</f>
        <v>0.79149999999999998</v>
      </c>
      <c r="F115" s="907">
        <f>E115</f>
        <v>0.79149999999999998</v>
      </c>
      <c r="G115" s="907">
        <f>F115</f>
        <v>0.79149999999999998</v>
      </c>
      <c r="H115" s="907">
        <f>G115</f>
        <v>0.79149999999999998</v>
      </c>
      <c r="I115" s="907">
        <f>ROUND(0.689-0.0155*B113,4)</f>
        <v>0.62980000000000003</v>
      </c>
      <c r="J115" s="907">
        <f t="shared" ref="J115:M118" si="33">I115</f>
        <v>0.62980000000000003</v>
      </c>
      <c r="K115" s="907">
        <f t="shared" si="33"/>
        <v>0.62980000000000003</v>
      </c>
      <c r="L115" s="907">
        <f t="shared" si="33"/>
        <v>0.62980000000000003</v>
      </c>
      <c r="M115" s="908">
        <f t="shared" si="33"/>
        <v>0.62980000000000003</v>
      </c>
    </row>
    <row r="116" spans="1:13">
      <c r="A116" s="906" t="s">
        <v>2871</v>
      </c>
      <c r="B116" s="907">
        <f>ROUND(0.949-0.012*B113,4)</f>
        <v>0.9032</v>
      </c>
      <c r="C116" s="907">
        <f>B116</f>
        <v>0.9032</v>
      </c>
      <c r="D116" s="907">
        <f>ROUND(0.8567-0.013*B113,4)</f>
        <v>0.80700000000000005</v>
      </c>
      <c r="E116" s="907">
        <f t="shared" ref="E116:H117" si="34">D116</f>
        <v>0.80700000000000005</v>
      </c>
      <c r="F116" s="907">
        <f t="shared" si="34"/>
        <v>0.80700000000000005</v>
      </c>
      <c r="G116" s="907">
        <f t="shared" si="34"/>
        <v>0.80700000000000005</v>
      </c>
      <c r="H116" s="907">
        <f t="shared" si="34"/>
        <v>0.80700000000000005</v>
      </c>
      <c r="I116" s="907">
        <f>ROUND(0.7694-0.014*B113,4)</f>
        <v>0.71589999999999998</v>
      </c>
      <c r="J116" s="907">
        <f t="shared" si="33"/>
        <v>0.71589999999999998</v>
      </c>
      <c r="K116" s="907">
        <f t="shared" si="33"/>
        <v>0.71589999999999998</v>
      </c>
      <c r="L116" s="907">
        <f t="shared" si="33"/>
        <v>0.71589999999999998</v>
      </c>
      <c r="M116" s="908">
        <f t="shared" si="33"/>
        <v>0.71589999999999998</v>
      </c>
    </row>
    <row r="117" spans="1:13">
      <c r="A117" s="906" t="s">
        <v>2872</v>
      </c>
      <c r="B117" s="907">
        <f>ROUND(0.8808-0.006*B113,4)</f>
        <v>0.8579</v>
      </c>
      <c r="C117" s="907">
        <f>B117</f>
        <v>0.8579</v>
      </c>
      <c r="D117" s="907">
        <f>ROUND(0.8748-0.008*B113,4)</f>
        <v>0.84419999999999995</v>
      </c>
      <c r="E117" s="907">
        <f t="shared" si="34"/>
        <v>0.84419999999999995</v>
      </c>
      <c r="F117" s="907">
        <f t="shared" si="34"/>
        <v>0.84419999999999995</v>
      </c>
      <c r="G117" s="907">
        <f t="shared" si="34"/>
        <v>0.84419999999999995</v>
      </c>
      <c r="H117" s="907">
        <f t="shared" si="34"/>
        <v>0.84419999999999995</v>
      </c>
      <c r="I117" s="907">
        <f>ROUND(0.7412-0.0095*B113,4)</f>
        <v>0.70489999999999997</v>
      </c>
      <c r="J117" s="907">
        <f t="shared" si="33"/>
        <v>0.70489999999999997</v>
      </c>
      <c r="K117" s="907">
        <f t="shared" si="33"/>
        <v>0.70489999999999997</v>
      </c>
      <c r="L117" s="907">
        <f t="shared" si="33"/>
        <v>0.70489999999999997</v>
      </c>
      <c r="M117" s="908">
        <f t="shared" si="33"/>
        <v>0.70489999999999997</v>
      </c>
    </row>
    <row r="118" spans="1:13" ht="13.5" thickBot="1">
      <c r="A118" s="714" t="s">
        <v>2873</v>
      </c>
      <c r="B118" s="909">
        <f>ROUND(0.7275-0.01*B113,4)</f>
        <v>0.68930000000000002</v>
      </c>
      <c r="C118" s="909">
        <f>B118</f>
        <v>0.68930000000000002</v>
      </c>
      <c r="D118" s="909">
        <f>ROUND(0.7043-0.012*B113,4)</f>
        <v>0.65849999999999997</v>
      </c>
      <c r="E118" s="909">
        <f>D118</f>
        <v>0.65849999999999997</v>
      </c>
      <c r="F118" s="909">
        <f>E118</f>
        <v>0.65849999999999997</v>
      </c>
      <c r="G118" s="909">
        <f>ROUND(0.6299-0.0122*B113,4)</f>
        <v>0.58330000000000004</v>
      </c>
      <c r="H118" s="909">
        <f>G118</f>
        <v>0.58330000000000004</v>
      </c>
      <c r="I118" s="909">
        <f>ROUND(0.5667-0.0136*B113,4)</f>
        <v>0.51470000000000005</v>
      </c>
      <c r="J118" s="909">
        <f t="shared" si="33"/>
        <v>0.51470000000000005</v>
      </c>
      <c r="K118" s="909">
        <f t="shared" si="33"/>
        <v>0.51470000000000005</v>
      </c>
      <c r="L118" s="909">
        <f t="shared" si="33"/>
        <v>0.51470000000000005</v>
      </c>
      <c r="M118" s="910">
        <f t="shared" si="33"/>
        <v>0.51470000000000005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8" t="s">
        <v>614</v>
      </c>
      <c r="C61" s="815" t="s">
        <v>615</v>
      </c>
      <c r="D61" s="815" t="s">
        <v>616</v>
      </c>
      <c r="E61" s="892">
        <v>0.5</v>
      </c>
      <c r="F61" s="879">
        <v>80</v>
      </c>
    </row>
    <row r="62" spans="1:8" s="875" customFormat="1" ht="24">
      <c r="A62" s="879">
        <v>2</v>
      </c>
      <c r="B62" s="3288"/>
      <c r="C62" s="815" t="s">
        <v>617</v>
      </c>
      <c r="D62" s="815" t="s">
        <v>618</v>
      </c>
      <c r="E62" s="892">
        <v>0.5</v>
      </c>
      <c r="F62" s="879">
        <v>80</v>
      </c>
    </row>
    <row r="63" spans="1:8" s="875" customFormat="1" ht="36">
      <c r="A63" s="879">
        <v>3</v>
      </c>
      <c r="B63" s="3288"/>
      <c r="C63" s="815" t="s">
        <v>619</v>
      </c>
      <c r="D63" s="815" t="s">
        <v>620</v>
      </c>
      <c r="E63" s="892">
        <v>0.5</v>
      </c>
      <c r="F63" s="879">
        <v>80</v>
      </c>
    </row>
    <row r="64" spans="1:8" s="875" customFormat="1" ht="36">
      <c r="A64" s="879">
        <v>4</v>
      </c>
      <c r="B64" s="3288"/>
      <c r="C64" s="815" t="s">
        <v>621</v>
      </c>
      <c r="D64" s="815" t="s">
        <v>622</v>
      </c>
      <c r="E64" s="892">
        <v>0.4</v>
      </c>
      <c r="F64" s="879">
        <v>60</v>
      </c>
    </row>
    <row r="65" spans="1:6" s="875" customFormat="1" ht="36">
      <c r="A65" s="879">
        <v>5</v>
      </c>
      <c r="B65" s="3288"/>
      <c r="C65" s="815" t="s">
        <v>623</v>
      </c>
      <c r="D65" s="815" t="s">
        <v>624</v>
      </c>
      <c r="E65" s="892">
        <v>0.2</v>
      </c>
      <c r="F65" s="879">
        <v>30</v>
      </c>
    </row>
    <row r="66" spans="1:6" s="875" customFormat="1" ht="36">
      <c r="A66" s="879">
        <v>6</v>
      </c>
      <c r="B66" s="3288"/>
      <c r="C66" s="815" t="s">
        <v>625</v>
      </c>
      <c r="D66" s="815" t="s">
        <v>626</v>
      </c>
      <c r="E66" s="892">
        <v>0.3</v>
      </c>
      <c r="F66" s="879">
        <v>50</v>
      </c>
    </row>
    <row r="67" spans="1:6" s="875" customFormat="1" ht="36">
      <c r="A67" s="879">
        <v>7</v>
      </c>
      <c r="B67" s="3288"/>
      <c r="C67" s="815" t="s">
        <v>627</v>
      </c>
      <c r="D67" s="815" t="s">
        <v>628</v>
      </c>
      <c r="E67" s="892">
        <v>0.2</v>
      </c>
      <c r="F67" s="879">
        <v>30</v>
      </c>
    </row>
    <row r="68" spans="1:6" s="875" customFormat="1" ht="36">
      <c r="A68" s="879">
        <v>8</v>
      </c>
      <c r="B68" s="3288"/>
      <c r="C68" s="815" t="s">
        <v>629</v>
      </c>
      <c r="D68" s="815" t="s">
        <v>630</v>
      </c>
      <c r="E68" s="892">
        <v>0.2</v>
      </c>
      <c r="F68" s="879">
        <v>30</v>
      </c>
    </row>
    <row r="69" spans="1:6" s="875" customFormat="1" ht="36">
      <c r="A69" s="879">
        <v>9</v>
      </c>
      <c r="B69" s="3288"/>
      <c r="C69" s="815" t="s">
        <v>631</v>
      </c>
      <c r="D69" s="815" t="s">
        <v>632</v>
      </c>
      <c r="E69" s="892">
        <v>0.2</v>
      </c>
      <c r="F69" s="879">
        <v>30</v>
      </c>
    </row>
    <row r="70" spans="1:6" s="875" customFormat="1" ht="48">
      <c r="A70" s="879">
        <v>10</v>
      </c>
      <c r="B70" s="3288"/>
      <c r="C70" s="815" t="s">
        <v>633</v>
      </c>
      <c r="D70" s="815" t="s">
        <v>634</v>
      </c>
      <c r="E70" s="892">
        <v>0.2</v>
      </c>
      <c r="F70" s="879">
        <v>30</v>
      </c>
    </row>
    <row r="71" spans="1:6" s="875" customFormat="1" ht="48">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24">
      <c r="A73" s="879">
        <v>13</v>
      </c>
      <c r="B73" s="3288"/>
      <c r="C73" s="815" t="s">
        <v>639</v>
      </c>
      <c r="D73" s="815" t="s">
        <v>640</v>
      </c>
      <c r="E73" s="892">
        <v>0.4</v>
      </c>
      <c r="F73" s="879">
        <v>60</v>
      </c>
    </row>
    <row r="74" spans="1:6" s="875" customFormat="1" ht="24">
      <c r="A74" s="879">
        <v>14</v>
      </c>
      <c r="B74" s="3288"/>
      <c r="C74" s="815" t="s">
        <v>641</v>
      </c>
      <c r="D74" s="815" t="s">
        <v>642</v>
      </c>
      <c r="E74" s="892">
        <v>0.2</v>
      </c>
      <c r="F74" s="879">
        <v>30</v>
      </c>
    </row>
    <row r="75" spans="1:6" s="875" customFormat="1" ht="24">
      <c r="A75" s="879">
        <v>15</v>
      </c>
      <c r="B75" s="3288"/>
      <c r="C75" s="815" t="s">
        <v>643</v>
      </c>
      <c r="D75" s="815" t="s">
        <v>644</v>
      </c>
      <c r="E75" s="892">
        <v>0.2</v>
      </c>
      <c r="F75" s="879">
        <v>30</v>
      </c>
    </row>
    <row r="76" spans="1:6" s="875" customFormat="1" ht="24">
      <c r="A76" s="879">
        <v>16</v>
      </c>
      <c r="B76" s="3288" t="s">
        <v>645</v>
      </c>
      <c r="C76" s="815" t="s">
        <v>646</v>
      </c>
      <c r="D76" s="815" t="s">
        <v>647</v>
      </c>
      <c r="E76" s="892">
        <v>0.5</v>
      </c>
      <c r="F76" s="879">
        <v>80</v>
      </c>
    </row>
    <row r="77" spans="1:6" s="875" customFormat="1" ht="24">
      <c r="A77" s="879">
        <v>17</v>
      </c>
      <c r="B77" s="3288"/>
      <c r="C77" s="815" t="s">
        <v>648</v>
      </c>
      <c r="D77" s="815" t="s">
        <v>649</v>
      </c>
      <c r="E77" s="892">
        <v>0.5</v>
      </c>
      <c r="F77" s="879">
        <v>80</v>
      </c>
    </row>
    <row r="78" spans="1:6" s="875" customFormat="1" ht="24">
      <c r="A78" s="879">
        <v>18</v>
      </c>
      <c r="B78" s="3288"/>
      <c r="C78" s="815" t="s">
        <v>650</v>
      </c>
      <c r="D78" s="815" t="s">
        <v>651</v>
      </c>
      <c r="E78" s="892">
        <v>0.2</v>
      </c>
      <c r="F78" s="879">
        <v>30</v>
      </c>
    </row>
    <row r="79" spans="1:6" s="875" customFormat="1" ht="24">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48">
      <c r="A82" s="879">
        <v>22</v>
      </c>
      <c r="B82" s="3288"/>
      <c r="C82" s="815" t="s">
        <v>658</v>
      </c>
      <c r="D82" s="815" t="s">
        <v>659</v>
      </c>
      <c r="E82" s="892">
        <v>0.2</v>
      </c>
      <c r="F82" s="879">
        <v>30</v>
      </c>
    </row>
    <row r="83" spans="1:6" s="875" customFormat="1" ht="48">
      <c r="A83" s="879">
        <v>23</v>
      </c>
      <c r="B83" s="3288"/>
      <c r="C83" s="815" t="s">
        <v>660</v>
      </c>
      <c r="D83" s="815" t="s">
        <v>661</v>
      </c>
      <c r="E83" s="892">
        <v>0.2</v>
      </c>
      <c r="F83" s="879">
        <v>30</v>
      </c>
    </row>
    <row r="84" spans="1:6" s="875" customFormat="1" ht="36">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24">
      <c r="A89" s="879">
        <v>29</v>
      </c>
      <c r="B89" s="3288"/>
      <c r="C89" s="815" t="s">
        <v>672</v>
      </c>
      <c r="D89" s="815" t="s">
        <v>673</v>
      </c>
      <c r="E89" s="892">
        <v>0.2</v>
      </c>
      <c r="F89" s="879">
        <v>30</v>
      </c>
    </row>
    <row r="90" spans="1:6" s="875" customFormat="1" ht="24">
      <c r="A90" s="879">
        <v>30</v>
      </c>
      <c r="B90" s="3288"/>
      <c r="C90" s="815" t="s">
        <v>674</v>
      </c>
      <c r="D90" s="815" t="s">
        <v>675</v>
      </c>
      <c r="E90" s="892">
        <v>0.2</v>
      </c>
      <c r="F90" s="879">
        <v>30</v>
      </c>
    </row>
    <row r="91" spans="1:6" s="875" customFormat="1" ht="36">
      <c r="A91" s="879">
        <v>31</v>
      </c>
      <c r="B91" s="3288"/>
      <c r="C91" s="815" t="s">
        <v>676</v>
      </c>
      <c r="D91" s="815" t="s">
        <v>677</v>
      </c>
      <c r="E91" s="892">
        <v>0.2</v>
      </c>
      <c r="F91" s="879">
        <v>30</v>
      </c>
    </row>
    <row r="92" spans="1:6" s="875" customFormat="1" ht="24">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48">
      <c r="A94" s="879">
        <v>34</v>
      </c>
      <c r="B94" s="3288"/>
      <c r="C94" s="879" t="s">
        <v>683</v>
      </c>
      <c r="D94" s="815" t="s">
        <v>684</v>
      </c>
      <c r="E94" s="892">
        <v>0.2</v>
      </c>
      <c r="F94" s="879">
        <v>30</v>
      </c>
    </row>
    <row r="95" spans="1:6" s="875" customFormat="1" ht="36">
      <c r="A95" s="879">
        <v>35</v>
      </c>
      <c r="B95" s="3288"/>
      <c r="C95" s="879" t="s">
        <v>685</v>
      </c>
      <c r="D95" s="815" t="s">
        <v>686</v>
      </c>
      <c r="E95" s="892">
        <v>0.2</v>
      </c>
      <c r="F95" s="879">
        <v>30</v>
      </c>
    </row>
    <row r="96" spans="1:6" s="875" customFormat="1" ht="48">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24">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8" t="s">
        <v>708</v>
      </c>
      <c r="C105" s="879" t="s">
        <v>709</v>
      </c>
      <c r="D105" s="815" t="s">
        <v>710</v>
      </c>
      <c r="E105" s="892">
        <v>0.2</v>
      </c>
      <c r="F105" s="879">
        <v>30</v>
      </c>
    </row>
    <row r="106" spans="1:6" s="875" customFormat="1" ht="36">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36">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8" t="s">
        <v>724</v>
      </c>
      <c r="C111" s="879" t="s">
        <v>725</v>
      </c>
      <c r="D111" s="815" t="s">
        <v>726</v>
      </c>
      <c r="E111" s="892">
        <v>0.2</v>
      </c>
      <c r="F111" s="879">
        <v>30</v>
      </c>
    </row>
    <row r="112" spans="1:6" s="875" customFormat="1" ht="24">
      <c r="A112" s="879">
        <v>52</v>
      </c>
      <c r="B112" s="3288"/>
      <c r="C112" s="879" t="s">
        <v>727</v>
      </c>
      <c r="D112" s="815" t="s">
        <v>728</v>
      </c>
      <c r="E112" s="892">
        <v>0.2</v>
      </c>
      <c r="F112" s="879">
        <v>30</v>
      </c>
    </row>
    <row r="113" spans="1:6" s="875" customFormat="1" ht="24">
      <c r="A113" s="879">
        <v>53</v>
      </c>
      <c r="B113" s="328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0.80159999999999998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1626</v>
      </c>
      <c r="C4" s="2975"/>
      <c r="D4" s="2975"/>
      <c r="E4" s="1961"/>
    </row>
    <row r="5" spans="1:5" ht="16.5" thickTop="1">
      <c r="A5" s="1959"/>
      <c r="B5" s="2973" t="s">
        <v>1618</v>
      </c>
      <c r="C5" s="1962" t="s">
        <v>1619</v>
      </c>
      <c r="D5" s="1040">
        <f ca="1">结果表!H101</f>
        <v>98012</v>
      </c>
      <c r="E5" s="1959"/>
    </row>
    <row r="6" spans="1:5" ht="15.75">
      <c r="A6" s="1959"/>
      <c r="B6" s="2973"/>
      <c r="C6" s="1962" t="s">
        <v>1620</v>
      </c>
      <c r="D6" s="1040" t="str">
        <f ca="1">NUMBERSTRING(INT(D5*10000),2)&amp;"元整"</f>
        <v>玖亿捌仟零壹拾贰万元整</v>
      </c>
      <c r="E6" s="1959"/>
    </row>
    <row r="7" spans="1:5" ht="15.75">
      <c r="A7" s="1959"/>
      <c r="B7" s="2978"/>
      <c r="C7" s="1963" t="s">
        <v>1621</v>
      </c>
      <c r="D7" s="1041">
        <f ca="1">结果表!H102</f>
        <v>8712</v>
      </c>
      <c r="E7" s="1959"/>
    </row>
    <row r="8" spans="1:5" ht="15.75">
      <c r="A8" s="1959"/>
      <c r="B8" s="2979" t="str">
        <f>结果表!E103</f>
        <v>2.估价师知悉的法定优先受偿款</v>
      </c>
      <c r="C8" s="1964" t="s">
        <v>1622</v>
      </c>
      <c r="D8" s="1041">
        <f>结果表!H103</f>
        <v>0</v>
      </c>
      <c r="E8" s="1959"/>
    </row>
    <row r="9" spans="1:5" ht="15.75">
      <c r="A9" s="1959"/>
      <c r="B9" s="2981"/>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2" t="str">
        <f>结果表!E107</f>
        <v>——</v>
      </c>
      <c r="C13" s="1967" t="s">
        <v>1619</v>
      </c>
      <c r="D13" s="1043" t="str">
        <f>结果表!H107</f>
        <v>——</v>
      </c>
      <c r="E13" s="1959"/>
    </row>
    <row r="14" spans="1:5" ht="15.75">
      <c r="A14" s="1959"/>
      <c r="B14" s="2973"/>
      <c r="C14" s="1962" t="s">
        <v>1620</v>
      </c>
      <c r="D14" s="1040" t="e">
        <f>NUMBERSTRING(INT(D13*10000),2)&amp;"元整"</f>
        <v>#VALUE!</v>
      </c>
      <c r="E14" s="1959"/>
    </row>
    <row r="15" spans="1:5" ht="15">
      <c r="A15" s="1959"/>
      <c r="B15" s="2978"/>
      <c r="C15" s="1963" t="s">
        <v>1630</v>
      </c>
      <c r="D15" s="1052" t="e">
        <f>结果表!H108</f>
        <v>#VALUE!</v>
      </c>
      <c r="E15" s="1959"/>
    </row>
    <row r="16" spans="1:5" ht="15">
      <c r="A16" s="1959"/>
      <c r="B16" s="2979" t="str">
        <f>结果表!E109</f>
        <v>3.抵押担保权已注销时的房地产抵押价值</v>
      </c>
      <c r="C16" s="1967" t="s">
        <v>1631</v>
      </c>
      <c r="D16" s="1968">
        <f ca="1">结果表!H109</f>
        <v>98012</v>
      </c>
      <c r="E16" s="1959"/>
    </row>
    <row r="17" spans="1:5" ht="15.75">
      <c r="A17" s="1959"/>
      <c r="B17" s="2980"/>
      <c r="C17" s="1962" t="s">
        <v>1632</v>
      </c>
      <c r="D17" s="1040" t="str">
        <f ca="1">NUMBERSTRING(INT(D16*10000),2)&amp;"元整"</f>
        <v>玖亿捌仟零壹拾贰万元整</v>
      </c>
      <c r="E17" s="1959"/>
    </row>
    <row r="18" spans="1:5" ht="15">
      <c r="A18" s="1959"/>
      <c r="B18" s="2981"/>
      <c r="C18" s="1963" t="s">
        <v>1621</v>
      </c>
      <c r="D18" s="1052">
        <f ca="1">结果表!H110</f>
        <v>8712</v>
      </c>
      <c r="E18" s="1959"/>
    </row>
    <row r="19" spans="1:5" ht="15.75">
      <c r="A19" s="1959"/>
      <c r="B19" s="2972" t="str">
        <f>结果表!E111</f>
        <v>——</v>
      </c>
      <c r="C19" s="1967" t="s">
        <v>1619</v>
      </c>
      <c r="D19" s="1041" t="str">
        <f>结果表!H111</f>
        <v>——</v>
      </c>
      <c r="E19" s="1959"/>
    </row>
    <row r="20" spans="1:5" ht="15.75">
      <c r="A20" s="1959"/>
      <c r="B20" s="2973"/>
      <c r="C20" s="1962" t="s">
        <v>1632</v>
      </c>
      <c r="D20" s="1040" t="e">
        <f>NUMBERSTRING(INT(D19*10000),2)&amp;"元整"</f>
        <v>#VALUE!</v>
      </c>
      <c r="E20" s="1959"/>
    </row>
    <row r="21" spans="1:5" ht="15.75" thickBot="1">
      <c r="A21" s="1959"/>
      <c r="B21" s="2974"/>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3" activeCellId="1" sqref="B3 F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2994</v>
      </c>
    </row>
    <row r="2" spans="1:5" ht="15.75">
      <c r="A2" s="2906" t="s">
        <v>2986</v>
      </c>
      <c r="B2" s="2907">
        <f ca="1">SUMIF(B6:B13,"&lt;&gt;#ref!",B6:B13)</f>
        <v>30590</v>
      </c>
      <c r="C2" s="2906" t="s">
        <v>2987</v>
      </c>
      <c r="D2" s="2906" t="s">
        <v>2988</v>
      </c>
      <c r="E2" s="2907">
        <f ca="1">SUMIF(E6:E13,"&lt;&gt;#ref!",E6:E13)</f>
        <v>107184.21999999997</v>
      </c>
    </row>
    <row r="3" spans="1:5" ht="15.75">
      <c r="A3" s="2906" t="s">
        <v>2989</v>
      </c>
      <c r="B3" s="2907">
        <f ca="1">ROUND(B2*10000/E2,0)</f>
        <v>2854</v>
      </c>
      <c r="C3" s="2906" t="s">
        <v>2995</v>
      </c>
      <c r="D3" s="2908"/>
      <c r="E3" s="2908"/>
    </row>
    <row r="4" spans="1:5" ht="15.75">
      <c r="A4" s="2909"/>
      <c r="B4" s="2908"/>
      <c r="C4" s="2908"/>
      <c r="D4" s="2908"/>
      <c r="E4" s="2908"/>
    </row>
    <row r="5" spans="1:5" ht="28.5">
      <c r="A5" s="2910" t="s">
        <v>2990</v>
      </c>
      <c r="B5" s="2906" t="s">
        <v>2991</v>
      </c>
      <c r="C5" s="2907"/>
      <c r="D5" s="2908"/>
      <c r="E5" s="2906" t="s">
        <v>2992</v>
      </c>
    </row>
    <row r="6" spans="1:5" ht="15.75">
      <c r="A6" s="2911" t="s">
        <v>2993</v>
      </c>
      <c r="B6" s="2907">
        <f ca="1">SUMIF(INDIRECT("'"&amp;A6&amp;"'"&amp;"!A:A"),"总价",INDIRECT("'"&amp;A6&amp;"'"&amp;"!B:B"))</f>
        <v>30590</v>
      </c>
      <c r="C6" s="2906" t="s">
        <v>2987</v>
      </c>
      <c r="D6" s="2908"/>
      <c r="E6" s="2573">
        <f ca="1">SUMIF(INDIRECT("'"&amp;A6&amp;"'"&amp;"!C:C"),"建筑面积",INDIRECT("'"&amp;A6&amp;"'"&amp;"!D:D"))</f>
        <v>107184.21999999997</v>
      </c>
    </row>
    <row r="7" spans="1:5" ht="15.75">
      <c r="A7" s="2911"/>
      <c r="B7" s="2907" t="e">
        <f ca="1">SUMIF(INDIRECT("'"&amp;A7&amp;"'"&amp;"!A:A"),"总价",INDIRECT("'"&amp;A7&amp;"'"&amp;"!B:B"))</f>
        <v>#REF!</v>
      </c>
      <c r="C7" s="2906" t="s">
        <v>2987</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2987</v>
      </c>
      <c r="D8" s="2908"/>
      <c r="E8" s="2573" t="e">
        <f t="shared" ca="1" si="0"/>
        <v>#REF!</v>
      </c>
    </row>
    <row r="9" spans="1:5" ht="15.75">
      <c r="A9" s="2911"/>
      <c r="B9" s="2907" t="e">
        <f t="shared" ca="1" si="1"/>
        <v>#REF!</v>
      </c>
      <c r="C9" s="2906" t="s">
        <v>2987</v>
      </c>
      <c r="D9" s="2908"/>
      <c r="E9" s="2573" t="e">
        <f t="shared" ca="1" si="0"/>
        <v>#REF!</v>
      </c>
    </row>
    <row r="10" spans="1:5" ht="15.75">
      <c r="A10" s="2911"/>
      <c r="B10" s="2907" t="e">
        <f t="shared" ca="1" si="1"/>
        <v>#REF!</v>
      </c>
      <c r="C10" s="2906" t="s">
        <v>2987</v>
      </c>
      <c r="D10" s="2908"/>
      <c r="E10" s="2573" t="e">
        <f t="shared" ca="1" si="0"/>
        <v>#REF!</v>
      </c>
    </row>
    <row r="11" spans="1:5" ht="15.75">
      <c r="A11" s="2911"/>
      <c r="B11" s="2907" t="e">
        <f t="shared" ca="1" si="1"/>
        <v>#REF!</v>
      </c>
      <c r="C11" s="2906" t="s">
        <v>2987</v>
      </c>
      <c r="D11" s="2908"/>
      <c r="E11" s="2573" t="e">
        <f t="shared" ca="1" si="0"/>
        <v>#REF!</v>
      </c>
    </row>
    <row r="12" spans="1:5" ht="15.75">
      <c r="A12" s="2911"/>
      <c r="B12" s="2907" t="e">
        <f t="shared" ca="1" si="1"/>
        <v>#REF!</v>
      </c>
      <c r="C12" s="2906" t="s">
        <v>2987</v>
      </c>
      <c r="D12" s="2908"/>
      <c r="E12" s="2573" t="e">
        <f t="shared" ca="1" si="0"/>
        <v>#REF!</v>
      </c>
    </row>
    <row r="13" spans="1:5" ht="15.75">
      <c r="A13" s="2911"/>
      <c r="B13" s="2907" t="e">
        <f t="shared" ca="1" si="1"/>
        <v>#REF!</v>
      </c>
      <c r="C13" s="2906" t="s">
        <v>2987</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5" sqref="W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3029</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3036</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7">
        <v>2018</v>
      </c>
      <c r="H5" s="1730">
        <v>4</v>
      </c>
      <c r="I5" s="2920">
        <v>0</v>
      </c>
      <c r="J5" s="2920">
        <v>0</v>
      </c>
      <c r="K5" s="2920">
        <v>0</v>
      </c>
      <c r="L5" s="2920">
        <v>0</v>
      </c>
      <c r="N5" s="1467">
        <f>I5/100</f>
        <v>0</v>
      </c>
      <c r="O5" s="1467">
        <f t="shared" ref="O5" si="7">J5/100</f>
        <v>0</v>
      </c>
      <c r="P5" s="1467">
        <f t="shared" ref="P5" si="8">K5/100</f>
        <v>0</v>
      </c>
      <c r="Q5" s="1467">
        <f t="shared" ref="Q5" si="9">L5/100</f>
        <v>0</v>
      </c>
      <c r="R5" s="1732"/>
      <c r="S5" s="1733"/>
      <c r="T5" s="1732"/>
      <c r="U5" s="1732"/>
      <c r="V5" s="1732"/>
      <c r="W5" s="2924" t="s">
        <v>3030</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3037</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35"/>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3035</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35"/>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3028</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35"/>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3025</v>
      </c>
      <c r="B9" s="1469">
        <v>439</v>
      </c>
      <c r="C9" s="1469">
        <v>327</v>
      </c>
      <c r="D9" s="1469">
        <f>C9</f>
        <v>327</v>
      </c>
      <c r="E9" s="1469">
        <v>627</v>
      </c>
      <c r="F9" s="1470">
        <v>283</v>
      </c>
      <c r="G9" s="2922">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3026</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18"/>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1382</v>
      </c>
      <c r="B11" s="1477">
        <f t="shared" si="50"/>
        <v>419.31181600000002</v>
      </c>
      <c r="C11" s="1477">
        <f t="shared" si="51"/>
        <v>313.95436800000004</v>
      </c>
      <c r="D11" s="1477">
        <f t="shared" si="52"/>
        <v>313.95436800000004</v>
      </c>
      <c r="E11" s="1477">
        <f t="shared" si="53"/>
        <v>596.63028431999999</v>
      </c>
      <c r="F11" s="1477">
        <f t="shared" si="54"/>
        <v>274.74220703999998</v>
      </c>
      <c r="G11" s="2917"/>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1157</v>
      </c>
      <c r="B12" s="1477">
        <f>B13*(1+N12)</f>
        <v>405.524</v>
      </c>
      <c r="C12" s="1477">
        <f>C13*(1+O12)</f>
        <v>307.79840000000002</v>
      </c>
      <c r="D12" s="1477">
        <f>C12</f>
        <v>307.79840000000002</v>
      </c>
      <c r="E12" s="1477">
        <f>E13*(1+P12)</f>
        <v>574.67759999999998</v>
      </c>
      <c r="F12" s="1477">
        <f>F13*(1+Q12)</f>
        <v>270.20280000000002</v>
      </c>
      <c r="G12" s="2918"/>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295">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292"/>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292"/>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293"/>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291">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292"/>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292"/>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293"/>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291">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292"/>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292"/>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293"/>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1158</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1159</v>
      </c>
      <c r="B25" s="1469">
        <v>299</v>
      </c>
      <c r="C25" s="1469">
        <v>252</v>
      </c>
      <c r="D25" s="1469">
        <f t="shared" si="64"/>
        <v>252</v>
      </c>
      <c r="E25" s="1469">
        <v>409</v>
      </c>
      <c r="F25" s="1470">
        <v>227</v>
      </c>
      <c r="G25" s="3296">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1160</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297"/>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1161</v>
      </c>
      <c r="B27" s="1477">
        <f t="shared" si="73"/>
        <v>288.2649053828776</v>
      </c>
      <c r="C27" s="1477">
        <f t="shared" si="73"/>
        <v>243.64564425013293</v>
      </c>
      <c r="D27" s="1477">
        <f t="shared" si="64"/>
        <v>243.64564425013293</v>
      </c>
      <c r="E27" s="1477">
        <f t="shared" si="74"/>
        <v>393.31080825986544</v>
      </c>
      <c r="F27" s="1477">
        <f t="shared" si="74"/>
        <v>223.07903790551154</v>
      </c>
      <c r="G27" s="3297"/>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1162</v>
      </c>
      <c r="B28" s="1477">
        <f t="shared" si="73"/>
        <v>282.50186729015837</v>
      </c>
      <c r="C28" s="1477">
        <f t="shared" si="73"/>
        <v>238.09796174155468</v>
      </c>
      <c r="D28" s="1477">
        <f t="shared" si="64"/>
        <v>238.09796174155468</v>
      </c>
      <c r="E28" s="1477">
        <f t="shared" si="74"/>
        <v>385.33438646014054</v>
      </c>
      <c r="F28" s="1477">
        <f t="shared" si="74"/>
        <v>221.55034055567739</v>
      </c>
      <c r="G28" s="3298"/>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1163</v>
      </c>
      <c r="B29" s="1511">
        <v>278</v>
      </c>
      <c r="C29" s="1511">
        <v>234</v>
      </c>
      <c r="D29" s="1511">
        <f t="shared" si="64"/>
        <v>234</v>
      </c>
      <c r="E29" s="1511">
        <v>379</v>
      </c>
      <c r="F29" s="1512">
        <v>220</v>
      </c>
      <c r="G29" s="3291">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1164</v>
      </c>
      <c r="B30" s="1477">
        <f>B29/(1+N29)</f>
        <v>275.49301357645425</v>
      </c>
      <c r="C30" s="1477">
        <f>C29/(1+O29)</f>
        <v>232.41954707985698</v>
      </c>
      <c r="D30" s="1477">
        <f t="shared" si="64"/>
        <v>232.41954707985698</v>
      </c>
      <c r="E30" s="1477">
        <f t="shared" ref="E30:F32" si="75">E29/(1+P29)</f>
        <v>375.32184591008121</v>
      </c>
      <c r="F30" s="1477">
        <f t="shared" si="75"/>
        <v>218.03766105054513</v>
      </c>
      <c r="G30" s="3292"/>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1165</v>
      </c>
      <c r="B31" s="1477">
        <f>B30/(1+N30)</f>
        <v>275.24529281292263</v>
      </c>
      <c r="C31" s="1477">
        <f>C30/(1+O30)</f>
        <v>231.74747938962707</v>
      </c>
      <c r="D31" s="1477">
        <f t="shared" si="64"/>
        <v>231.74747938962707</v>
      </c>
      <c r="E31" s="1477">
        <f t="shared" si="75"/>
        <v>375.35938184826603</v>
      </c>
      <c r="F31" s="1477">
        <f t="shared" si="75"/>
        <v>216.78033510692495</v>
      </c>
      <c r="G31" s="3292"/>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1166</v>
      </c>
      <c r="B32" s="1477">
        <f>B31/(1+N31)</f>
        <v>275.19025476197027</v>
      </c>
      <c r="C32" s="1513">
        <v>232</v>
      </c>
      <c r="D32" s="1513">
        <f t="shared" si="64"/>
        <v>232</v>
      </c>
      <c r="E32" s="1477">
        <f t="shared" si="75"/>
        <v>375.65990977608692</v>
      </c>
      <c r="F32" s="1477">
        <f t="shared" si="75"/>
        <v>214.12518283971252</v>
      </c>
      <c r="G32" s="3293"/>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1167</v>
      </c>
      <c r="B33" s="1469">
        <v>275</v>
      </c>
      <c r="C33" s="1469">
        <v>232</v>
      </c>
      <c r="D33" s="1469">
        <f t="shared" si="64"/>
        <v>232</v>
      </c>
      <c r="E33" s="1469">
        <v>376</v>
      </c>
      <c r="F33" s="1470">
        <v>213</v>
      </c>
      <c r="G33" s="3291">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1168</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292">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1169</v>
      </c>
      <c r="B35" s="1477">
        <f t="shared" si="76"/>
        <v>275.19335084830601</v>
      </c>
      <c r="C35" s="1477">
        <f t="shared" si="76"/>
        <v>230.18088050139744</v>
      </c>
      <c r="D35" s="1477">
        <f t="shared" si="64"/>
        <v>230.18088050139744</v>
      </c>
      <c r="E35" s="1477">
        <f t="shared" si="77"/>
        <v>377.58482925212331</v>
      </c>
      <c r="F35" s="1477">
        <f t="shared" si="77"/>
        <v>210.90687997847917</v>
      </c>
      <c r="G35" s="3292">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1170</v>
      </c>
      <c r="B36" s="1477">
        <f t="shared" si="76"/>
        <v>276.29854502841971</v>
      </c>
      <c r="C36" s="1477">
        <f t="shared" si="76"/>
        <v>229.79023709833027</v>
      </c>
      <c r="D36" s="1477">
        <f t="shared" si="64"/>
        <v>229.79023709833027</v>
      </c>
      <c r="E36" s="1477">
        <f t="shared" si="77"/>
        <v>379.78759731655936</v>
      </c>
      <c r="F36" s="1477">
        <f t="shared" si="77"/>
        <v>211.32953905659235</v>
      </c>
      <c r="G36" s="3293">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1171</v>
      </c>
      <c r="B37" s="1469">
        <v>269</v>
      </c>
      <c r="C37" s="1469">
        <v>221</v>
      </c>
      <c r="D37" s="1469">
        <f t="shared" si="64"/>
        <v>221</v>
      </c>
      <c r="E37" s="1469">
        <v>373</v>
      </c>
      <c r="F37" s="1470">
        <v>196</v>
      </c>
      <c r="G37" s="3291">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1172</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292">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1173</v>
      </c>
      <c r="B39" s="1477">
        <f t="shared" si="78"/>
        <v>242.95398227588385</v>
      </c>
      <c r="C39" s="1477">
        <f t="shared" si="78"/>
        <v>199.59137053614126</v>
      </c>
      <c r="D39" s="1477">
        <f t="shared" si="64"/>
        <v>199.59137053614126</v>
      </c>
      <c r="E39" s="1477">
        <f t="shared" si="79"/>
        <v>335.92189522342125</v>
      </c>
      <c r="F39" s="1477">
        <f t="shared" si="79"/>
        <v>183.10139991109489</v>
      </c>
      <c r="G39" s="3292">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1174</v>
      </c>
      <c r="B40" s="1477">
        <f t="shared" si="78"/>
        <v>232.06990378821649</v>
      </c>
      <c r="C40" s="1477">
        <f t="shared" si="78"/>
        <v>192.74878854286936</v>
      </c>
      <c r="D40" s="1477">
        <f t="shared" si="64"/>
        <v>192.74878854286936</v>
      </c>
      <c r="E40" s="1477">
        <f t="shared" si="79"/>
        <v>319.71247284992984</v>
      </c>
      <c r="F40" s="1477">
        <f t="shared" si="79"/>
        <v>175.67053622862409</v>
      </c>
      <c r="G40" s="3293">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1175</v>
      </c>
      <c r="B41" s="1469">
        <v>220</v>
      </c>
      <c r="C41" s="1469">
        <v>187</v>
      </c>
      <c r="D41" s="1469">
        <f t="shared" si="64"/>
        <v>187</v>
      </c>
      <c r="E41" s="1469">
        <v>301</v>
      </c>
      <c r="F41" s="1470">
        <v>168</v>
      </c>
      <c r="G41" s="3291">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1176</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292">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1177</v>
      </c>
      <c r="B43" s="1477">
        <f t="shared" si="80"/>
        <v>210.630522469011</v>
      </c>
      <c r="C43" s="1477">
        <f t="shared" si="80"/>
        <v>181.69567812247232</v>
      </c>
      <c r="D43" s="1477">
        <f t="shared" si="64"/>
        <v>181.69567812247232</v>
      </c>
      <c r="E43" s="1477">
        <f t="shared" si="81"/>
        <v>286.13517466736738</v>
      </c>
      <c r="F43" s="1477">
        <f t="shared" si="81"/>
        <v>165.47535084591149</v>
      </c>
      <c r="G43" s="3292">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1178</v>
      </c>
      <c r="B44" s="1477">
        <f t="shared" si="80"/>
        <v>208.83454537875372</v>
      </c>
      <c r="C44" s="1477">
        <f t="shared" si="80"/>
        <v>183.77230517090351</v>
      </c>
      <c r="D44" s="1477">
        <f t="shared" si="64"/>
        <v>183.77230517090351</v>
      </c>
      <c r="E44" s="1477">
        <f t="shared" si="81"/>
        <v>281.10342338870947</v>
      </c>
      <c r="F44" s="1477">
        <f t="shared" si="81"/>
        <v>168.97309388942256</v>
      </c>
      <c r="G44" s="3293">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1179</v>
      </c>
      <c r="B45" s="1511">
        <v>214</v>
      </c>
      <c r="C45" s="1511">
        <v>188</v>
      </c>
      <c r="D45" s="1511">
        <f t="shared" si="64"/>
        <v>188</v>
      </c>
      <c r="E45" s="1511">
        <v>289</v>
      </c>
      <c r="F45" s="1512">
        <v>166</v>
      </c>
      <c r="G45" s="3291">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1180</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292">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1181</v>
      </c>
      <c r="B47" s="1477">
        <f t="shared" si="82"/>
        <v>206.31694671589116</v>
      </c>
      <c r="C47" s="1477">
        <f t="shared" si="82"/>
        <v>183.61041121036101</v>
      </c>
      <c r="D47" s="1477">
        <f t="shared" si="64"/>
        <v>183.61041121036101</v>
      </c>
      <c r="E47" s="1477">
        <f t="shared" si="83"/>
        <v>276.66850301795557</v>
      </c>
      <c r="F47" s="1477">
        <f t="shared" si="83"/>
        <v>165.1360938278614</v>
      </c>
      <c r="G47" s="3292">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1182</v>
      </c>
      <c r="B48" s="1514">
        <f t="shared" si="82"/>
        <v>196.62341248059772</v>
      </c>
      <c r="C48" s="1514">
        <f t="shared" si="82"/>
        <v>170.99125648199012</v>
      </c>
      <c r="D48" s="1514">
        <f t="shared" si="64"/>
        <v>170.99125648199012</v>
      </c>
      <c r="E48" s="1514">
        <f t="shared" si="83"/>
        <v>266.07857570490052</v>
      </c>
      <c r="F48" s="1514">
        <f t="shared" si="83"/>
        <v>154.53499328828505</v>
      </c>
      <c r="G48" s="3293">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1183</v>
      </c>
      <c r="B49" s="1469">
        <v>188</v>
      </c>
      <c r="C49" s="1469">
        <v>165</v>
      </c>
      <c r="D49" s="1469">
        <f t="shared" si="64"/>
        <v>165</v>
      </c>
      <c r="E49" s="1469">
        <v>254</v>
      </c>
      <c r="F49" s="1470">
        <v>148</v>
      </c>
      <c r="G49" s="3291">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1184</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292">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1185</v>
      </c>
      <c r="B51" s="1477">
        <f t="shared" si="86"/>
        <v>168.82017748715555</v>
      </c>
      <c r="C51" s="1477">
        <f t="shared" si="86"/>
        <v>148.06267029972753</v>
      </c>
      <c r="D51" s="1477">
        <f t="shared" si="64"/>
        <v>148.06267029972753</v>
      </c>
      <c r="E51" s="1477">
        <f t="shared" si="87"/>
        <v>216.46288379323747</v>
      </c>
      <c r="F51" s="1477">
        <f t="shared" si="87"/>
        <v>134.23529411764704</v>
      </c>
      <c r="G51" s="3292">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1186</v>
      </c>
      <c r="B52" s="1477">
        <f t="shared" si="86"/>
        <v>163.84913591779542</v>
      </c>
      <c r="C52" s="1477">
        <f t="shared" si="86"/>
        <v>145.0283378746594</v>
      </c>
      <c r="D52" s="1477">
        <f t="shared" si="64"/>
        <v>145.0283378746594</v>
      </c>
      <c r="E52" s="1477">
        <f t="shared" si="87"/>
        <v>204.95180722891567</v>
      </c>
      <c r="F52" s="1477">
        <f t="shared" si="87"/>
        <v>125.95920303605313</v>
      </c>
      <c r="G52" s="3293">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1187</v>
      </c>
      <c r="B53" s="1490">
        <v>159</v>
      </c>
      <c r="C53" s="1490">
        <v>141</v>
      </c>
      <c r="D53" s="1490">
        <f t="shared" si="64"/>
        <v>141</v>
      </c>
      <c r="E53" s="1490">
        <v>195</v>
      </c>
      <c r="F53" s="1491">
        <v>122</v>
      </c>
      <c r="G53" s="3291">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1188</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292">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1189</v>
      </c>
      <c r="B55" s="1477">
        <f t="shared" si="90"/>
        <v>146.57412060301507</v>
      </c>
      <c r="C55" s="1477">
        <f t="shared" si="90"/>
        <v>136.46831955922866</v>
      </c>
      <c r="D55" s="1477">
        <f t="shared" si="64"/>
        <v>136.46831955922866</v>
      </c>
      <c r="E55" s="1477">
        <f t="shared" si="91"/>
        <v>166.73864894795128</v>
      </c>
      <c r="F55" s="1477">
        <f t="shared" si="91"/>
        <v>115.05882352941177</v>
      </c>
      <c r="G55" s="3292">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1190</v>
      </c>
      <c r="B56" s="1477">
        <f t="shared" si="90"/>
        <v>144.04145728643215</v>
      </c>
      <c r="C56" s="1477">
        <f t="shared" si="90"/>
        <v>136.12396694214877</v>
      </c>
      <c r="D56" s="1477">
        <f t="shared" si="64"/>
        <v>136.12396694214877</v>
      </c>
      <c r="E56" s="1477">
        <f t="shared" si="91"/>
        <v>158.32225913621264</v>
      </c>
      <c r="F56" s="1477">
        <f t="shared" si="91"/>
        <v>114.04278074866311</v>
      </c>
      <c r="G56" s="3293">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1191</v>
      </c>
      <c r="B57" s="1490">
        <v>138</v>
      </c>
      <c r="C57" s="1490">
        <v>131</v>
      </c>
      <c r="D57" s="1490">
        <f t="shared" si="64"/>
        <v>131</v>
      </c>
      <c r="E57" s="1490">
        <v>155</v>
      </c>
      <c r="F57" s="1491">
        <v>114</v>
      </c>
      <c r="G57" s="3291">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1192</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292">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1193</v>
      </c>
      <c r="B59" s="1477">
        <f t="shared" si="94"/>
        <v>124.29032258064517</v>
      </c>
      <c r="C59" s="1477">
        <f t="shared" si="94"/>
        <v>123.8968609865471</v>
      </c>
      <c r="D59" s="1477">
        <f t="shared" si="64"/>
        <v>123.8968609865471</v>
      </c>
      <c r="E59" s="1477">
        <f t="shared" si="95"/>
        <v>138.00507614213197</v>
      </c>
      <c r="F59" s="1477">
        <f t="shared" si="95"/>
        <v>107.96106557377048</v>
      </c>
      <c r="G59" s="3292">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1194</v>
      </c>
      <c r="B60" s="1477">
        <f t="shared" si="94"/>
        <v>122.57204301075269</v>
      </c>
      <c r="C60" s="1477">
        <f t="shared" si="94"/>
        <v>123.4932735426009</v>
      </c>
      <c r="D60" s="1477">
        <f t="shared" si="64"/>
        <v>123.4932735426009</v>
      </c>
      <c r="E60" s="1477">
        <f t="shared" si="95"/>
        <v>129.82233502538071</v>
      </c>
      <c r="F60" s="1477">
        <f t="shared" si="95"/>
        <v>107.39446721311475</v>
      </c>
      <c r="G60" s="3293">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1195</v>
      </c>
      <c r="B61" s="1511">
        <v>121</v>
      </c>
      <c r="C61" s="1511">
        <v>122</v>
      </c>
      <c r="D61" s="1511">
        <f t="shared" si="64"/>
        <v>122</v>
      </c>
      <c r="E61" s="1511">
        <v>124</v>
      </c>
      <c r="F61" s="1512">
        <v>107</v>
      </c>
      <c r="G61" s="3291">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1196</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292">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1197</v>
      </c>
      <c r="B63" s="1477">
        <f t="shared" si="98"/>
        <v>116.99099099099099</v>
      </c>
      <c r="C63" s="1477">
        <f t="shared" si="98"/>
        <v>118.84848484848486</v>
      </c>
      <c r="D63" s="1477">
        <f t="shared" si="64"/>
        <v>118.84848484848486</v>
      </c>
      <c r="E63" s="1477">
        <f t="shared" si="99"/>
        <v>117.60960960960961</v>
      </c>
      <c r="F63" s="1477">
        <f t="shared" si="99"/>
        <v>104</v>
      </c>
      <c r="G63" s="3292">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1198</v>
      </c>
      <c r="B64" s="1514">
        <f t="shared" si="98"/>
        <v>112.48648648648648</v>
      </c>
      <c r="C64" s="1514">
        <f t="shared" si="98"/>
        <v>115.21212121212122</v>
      </c>
      <c r="D64" s="1514">
        <f t="shared" si="64"/>
        <v>115.21212121212122</v>
      </c>
      <c r="E64" s="1514">
        <f t="shared" si="99"/>
        <v>110.4024024024024</v>
      </c>
      <c r="F64" s="1514">
        <f t="shared" si="99"/>
        <v>104</v>
      </c>
      <c r="G64" s="3293">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1199</v>
      </c>
      <c r="B65" s="1532">
        <v>111</v>
      </c>
      <c r="C65" s="1532">
        <v>114</v>
      </c>
      <c r="D65" s="1532">
        <f t="shared" si="64"/>
        <v>114</v>
      </c>
      <c r="E65" s="1532">
        <v>108</v>
      </c>
      <c r="F65" s="1533">
        <v>104</v>
      </c>
      <c r="G65" s="3291">
        <v>2003</v>
      </c>
      <c r="H65" s="1522">
        <v>4</v>
      </c>
      <c r="I65" s="1534"/>
      <c r="J65" s="1534"/>
      <c r="K65" s="1534"/>
      <c r="L65" s="1534"/>
      <c r="N65" s="1535"/>
      <c r="O65" s="1534"/>
      <c r="P65" s="1534"/>
      <c r="Q65" s="1534"/>
      <c r="S65" s="1535"/>
      <c r="T65" s="1534"/>
      <c r="U65" s="1534"/>
      <c r="V65" s="1534"/>
      <c r="X65" s="1526"/>
      <c r="Y65" s="1526"/>
      <c r="Z65" s="1526"/>
    </row>
    <row r="66" spans="1:26">
      <c r="A66" s="1461" t="s">
        <v>1200</v>
      </c>
      <c r="B66" s="1536">
        <f t="shared" ref="B66:C68" si="100">B67+(B$65-B$69)/4</f>
        <v>109.75</v>
      </c>
      <c r="C66" s="1536">
        <f t="shared" si="100"/>
        <v>112.25</v>
      </c>
      <c r="D66" s="1536">
        <f t="shared" si="64"/>
        <v>112.25</v>
      </c>
      <c r="E66" s="1536">
        <f t="shared" ref="E66:F68" si="101">E67+(E$65-E$69)/4</f>
        <v>107.25</v>
      </c>
      <c r="F66" s="1536">
        <f t="shared" si="101"/>
        <v>103.5</v>
      </c>
      <c r="G66" s="3292">
        <v>2003</v>
      </c>
      <c r="H66" s="1487">
        <v>3</v>
      </c>
      <c r="I66" s="1534"/>
      <c r="J66" s="1534"/>
      <c r="K66" s="1534"/>
      <c r="L66" s="1534"/>
      <c r="X66" s="1526"/>
      <c r="Y66" s="1526"/>
      <c r="Z66" s="1526"/>
    </row>
    <row r="67" spans="1:26">
      <c r="A67" s="1461" t="s">
        <v>1201</v>
      </c>
      <c r="B67" s="1536">
        <f t="shared" si="100"/>
        <v>108.5</v>
      </c>
      <c r="C67" s="1536">
        <f t="shared" si="100"/>
        <v>110.5</v>
      </c>
      <c r="D67" s="1536">
        <f t="shared" si="64"/>
        <v>110.5</v>
      </c>
      <c r="E67" s="1536">
        <f t="shared" si="101"/>
        <v>106.5</v>
      </c>
      <c r="F67" s="1536">
        <f t="shared" si="101"/>
        <v>103</v>
      </c>
      <c r="G67" s="3292">
        <v>2003</v>
      </c>
      <c r="H67" s="1465">
        <v>2</v>
      </c>
      <c r="I67" s="1534"/>
      <c r="J67" s="1534"/>
      <c r="K67" s="1534"/>
      <c r="L67" s="1534"/>
      <c r="X67" s="1526"/>
      <c r="Y67" s="1526"/>
      <c r="Z67" s="1526"/>
    </row>
    <row r="68" spans="1:26" ht="13.5" thickBot="1">
      <c r="A68" s="1461" t="s">
        <v>1202</v>
      </c>
      <c r="B68" s="1536">
        <f t="shared" si="100"/>
        <v>107.25</v>
      </c>
      <c r="C68" s="1536">
        <f t="shared" si="100"/>
        <v>108.75</v>
      </c>
      <c r="D68" s="1536">
        <f t="shared" si="64"/>
        <v>108.75</v>
      </c>
      <c r="E68" s="1536">
        <f t="shared" si="101"/>
        <v>105.75</v>
      </c>
      <c r="F68" s="1536">
        <f t="shared" si="101"/>
        <v>102.5</v>
      </c>
      <c r="G68" s="3293">
        <v>2003</v>
      </c>
      <c r="H68" s="1537">
        <v>1</v>
      </c>
      <c r="I68" s="1534"/>
      <c r="J68" s="1534"/>
      <c r="K68" s="1534"/>
      <c r="L68" s="1534"/>
      <c r="S68" s="1472"/>
      <c r="T68" s="1473"/>
      <c r="U68" s="1473"/>
      <c r="X68" s="1526"/>
      <c r="Y68" s="1526"/>
      <c r="Z68" s="1526"/>
    </row>
    <row r="69" spans="1:26" ht="13.5" thickBot="1">
      <c r="A69" s="1461" t="s">
        <v>1203</v>
      </c>
      <c r="B69" s="1538">
        <v>106</v>
      </c>
      <c r="C69" s="1538">
        <v>107</v>
      </c>
      <c r="D69" s="1538">
        <f t="shared" si="64"/>
        <v>107</v>
      </c>
      <c r="E69" s="1538">
        <v>105</v>
      </c>
      <c r="F69" s="1539">
        <v>102</v>
      </c>
      <c r="G69" s="3291">
        <v>2002</v>
      </c>
      <c r="H69" s="1482">
        <v>4</v>
      </c>
      <c r="I69" s="1534"/>
      <c r="J69" s="1534"/>
      <c r="K69" s="1534"/>
      <c r="L69" s="1534"/>
      <c r="N69" s="1535"/>
      <c r="O69" s="1534"/>
      <c r="P69" s="1534"/>
      <c r="Q69" s="1534"/>
      <c r="S69" s="1535"/>
      <c r="T69" s="1534"/>
      <c r="U69" s="1534"/>
      <c r="V69" s="1534"/>
      <c r="X69" s="1526"/>
      <c r="Y69" s="1526"/>
      <c r="Z69" s="1526"/>
    </row>
    <row r="70" spans="1:26">
      <c r="A70" s="1461" t="s">
        <v>1204</v>
      </c>
      <c r="B70" s="1536">
        <f t="shared" ref="B70:C72" si="102">B71+(B$69-B$73)/4</f>
        <v>105</v>
      </c>
      <c r="C70" s="1536">
        <f t="shared" si="102"/>
        <v>106</v>
      </c>
      <c r="D70" s="1536">
        <f t="shared" si="64"/>
        <v>106</v>
      </c>
      <c r="E70" s="1536">
        <f t="shared" ref="E70:F72" si="103">E71+(E$69-E$73)/4</f>
        <v>104.5</v>
      </c>
      <c r="F70" s="1536">
        <f t="shared" si="103"/>
        <v>101.5</v>
      </c>
      <c r="G70" s="3292">
        <v>2002</v>
      </c>
      <c r="H70" s="1487">
        <v>3</v>
      </c>
      <c r="I70" s="1534"/>
      <c r="J70" s="1534"/>
      <c r="K70" s="1534"/>
      <c r="L70" s="1534"/>
      <c r="X70" s="1526"/>
      <c r="Y70" s="1526"/>
      <c r="Z70" s="1526"/>
    </row>
    <row r="71" spans="1:26">
      <c r="A71" s="1461" t="s">
        <v>1205</v>
      </c>
      <c r="B71" s="1536">
        <f t="shared" si="102"/>
        <v>104</v>
      </c>
      <c r="C71" s="1536">
        <f t="shared" si="102"/>
        <v>105</v>
      </c>
      <c r="D71" s="1536">
        <f t="shared" si="64"/>
        <v>105</v>
      </c>
      <c r="E71" s="1536">
        <f t="shared" si="103"/>
        <v>104</v>
      </c>
      <c r="F71" s="1536">
        <f t="shared" si="103"/>
        <v>101</v>
      </c>
      <c r="G71" s="3292">
        <v>2002</v>
      </c>
      <c r="H71" s="1465">
        <v>2</v>
      </c>
      <c r="I71" s="1534"/>
      <c r="J71" s="1534"/>
      <c r="K71" s="1534"/>
      <c r="L71" s="1534"/>
      <c r="X71" s="1526"/>
      <c r="Y71" s="1526"/>
      <c r="Z71" s="1526"/>
    </row>
    <row r="72" spans="1:26" s="1498" customFormat="1" ht="13.5" thickBot="1">
      <c r="A72" s="1494" t="s">
        <v>1206</v>
      </c>
      <c r="B72" s="1540">
        <f t="shared" si="102"/>
        <v>103</v>
      </c>
      <c r="C72" s="1540">
        <f t="shared" si="102"/>
        <v>104</v>
      </c>
      <c r="D72" s="1540">
        <f t="shared" si="64"/>
        <v>104</v>
      </c>
      <c r="E72" s="1540">
        <f t="shared" si="103"/>
        <v>103.5</v>
      </c>
      <c r="F72" s="1540">
        <f t="shared" si="103"/>
        <v>100.5</v>
      </c>
      <c r="G72" s="3293">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1207</v>
      </c>
      <c r="G75" s="1550"/>
      <c r="N75" s="1550"/>
      <c r="S75" s="1550"/>
    </row>
    <row r="76" spans="1:26" s="1549" customFormat="1">
      <c r="A76" s="1549" t="s">
        <v>1208</v>
      </c>
      <c r="G76" s="1550"/>
      <c r="N76" s="1550"/>
      <c r="S76" s="1550"/>
    </row>
    <row r="77" spans="1:26" s="1549" customFormat="1">
      <c r="A77" s="1549" t="s">
        <v>1209</v>
      </c>
      <c r="G77" s="1550"/>
      <c r="I77" s="1551"/>
      <c r="J77" s="1551"/>
      <c r="K77" s="1551"/>
      <c r="L77" s="1551"/>
      <c r="N77" s="1552"/>
      <c r="O77" s="1551"/>
      <c r="P77" s="1551"/>
      <c r="Q77" s="1551"/>
      <c r="S77" s="1552"/>
      <c r="T77" s="1551"/>
      <c r="U77" s="1551"/>
      <c r="V77" s="1551"/>
    </row>
    <row r="78" spans="1:26" s="1549" customFormat="1">
      <c r="A78" s="1549" t="s">
        <v>1210</v>
      </c>
      <c r="G78" s="1550"/>
      <c r="N78" s="1550"/>
      <c r="S78" s="1550"/>
    </row>
    <row r="85" spans="7:22" ht="13.5" thickBot="1"/>
    <row r="86" spans="7:22">
      <c r="G86" s="1471"/>
      <c r="S86" s="1553" t="s">
        <v>1211</v>
      </c>
      <c r="T86" s="1554" t="s">
        <v>1212</v>
      </c>
      <c r="U86" s="1554" t="s">
        <v>1213</v>
      </c>
      <c r="V86" s="1554" t="s">
        <v>1214</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3" activeCellId="1" sqref="B3 F23"/>
      <selection pane="bottomLeft" activeCell="F23" activeCellId="1" sqref="B3 F2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300" t="s">
        <v>2997</v>
      </c>
      <c r="D1" s="3301"/>
      <c r="E1" s="3301"/>
      <c r="F1" s="3301"/>
      <c r="G1" s="3301"/>
      <c r="H1" s="3301"/>
      <c r="I1" s="3301"/>
      <c r="J1" s="3301"/>
      <c r="K1" s="3301"/>
      <c r="L1" s="3301"/>
      <c r="M1" s="3301"/>
      <c r="N1" s="3301"/>
      <c r="O1" s="3301"/>
      <c r="P1" s="3301"/>
      <c r="Q1" s="3301"/>
      <c r="R1" s="3301"/>
      <c r="S1" s="330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3006</v>
      </c>
      <c r="B17" s="2913"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5" t="s">
        <v>3010</v>
      </c>
      <c r="E20" s="1793"/>
      <c r="F20" s="1204" t="e">
        <f ca="1">SUMIF(INDIRECT("'"&amp;H20&amp;"'"&amp;"!A:A"),"承租人权益价值",INDIRECT("'"&amp;H20&amp;"'"&amp;"!c:c"))</f>
        <v>#REF!</v>
      </c>
      <c r="G20" s="1204" t="s">
        <v>3011</v>
      </c>
      <c r="H20" s="2916"/>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83" t="s">
        <v>33</v>
      </c>
      <c r="D22" s="3084"/>
      <c r="E22" s="3084"/>
      <c r="F22" s="3084"/>
      <c r="G22" s="3084"/>
      <c r="H22" s="3084"/>
      <c r="I22" s="3084"/>
      <c r="J22" s="3084"/>
      <c r="K22" s="3084"/>
      <c r="L22" s="3084"/>
      <c r="M22" s="3084"/>
      <c r="N22" s="3084"/>
      <c r="O22" s="3084"/>
      <c r="P22" s="3084"/>
      <c r="Q22" s="329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91834</v>
      </c>
      <c r="C2" s="2" t="s">
        <v>133</v>
      </c>
      <c r="D2" s="243"/>
      <c r="E2" s="243"/>
      <c r="F2" s="243"/>
      <c r="G2" s="243"/>
    </row>
    <row r="3" spans="1:7" s="244" customFormat="1" ht="18" customHeight="1" thickBot="1">
      <c r="A3" s="247" t="s">
        <v>85</v>
      </c>
      <c r="B3" s="248">
        <f ca="1">ROUND(B2*10000/'数据-汇总表'!E3,0)</f>
        <v>8163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1913</v>
      </c>
      <c r="D10" s="1032">
        <f>'数据-汇总表'!E6</f>
        <v>112500.81000000001</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2250</v>
      </c>
      <c r="D19" s="1036">
        <f>'数据-汇总表'!E3</f>
        <v>112500.81000000001</v>
      </c>
      <c r="E19" s="255">
        <f>'数据-取费表'!B31</f>
        <v>200</v>
      </c>
      <c r="F19" s="275"/>
      <c r="G19" s="1" t="s">
        <v>1071</v>
      </c>
    </row>
    <row r="20" spans="1:7" s="258" customFormat="1" ht="13.5" customHeight="1">
      <c r="A20" s="948" t="s">
        <v>1054</v>
      </c>
      <c r="B20" s="254" t="s">
        <v>104</v>
      </c>
      <c r="C20" s="276">
        <f>ROUND((C5+C19)*F20,0)</f>
        <v>686</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1905</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1692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185</v>
      </c>
      <c r="D24" s="282"/>
      <c r="E24" s="282"/>
      <c r="F24" s="283"/>
      <c r="G24" s="284" t="s">
        <v>109</v>
      </c>
    </row>
    <row r="25" spans="1:7" s="258" customFormat="1" ht="24">
      <c r="A25" s="951" t="s">
        <v>793</v>
      </c>
      <c r="B25" s="259" t="s">
        <v>1055</v>
      </c>
      <c r="C25" s="1355">
        <f ca="1">ROUND(IF('数据-取费表'!B22&lt;=1,C20*F22*'数据-取费表'!B23/2,C20*(POWER((1+F22),'数据-取费表'!B23/2)-1)),0)</f>
        <v>28</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3402</v>
      </c>
      <c r="D27" s="279">
        <f>C29</f>
        <v>4.3E-3</v>
      </c>
      <c r="E27" s="280" t="s">
        <v>126</v>
      </c>
      <c r="F27" s="290">
        <f>'数据-取费表'!Q16</f>
        <v>0.17</v>
      </c>
      <c r="G27" s="291" t="s">
        <v>1066</v>
      </c>
    </row>
    <row r="28" spans="1:7" s="258" customFormat="1" ht="13.5" customHeight="1">
      <c r="A28" s="951" t="s">
        <v>794</v>
      </c>
      <c r="B28" s="292" t="s">
        <v>1059</v>
      </c>
      <c r="C28" s="293">
        <f>ROUND((C5+C19+C20)*F27*'数据-取费表'!B21/'数据-取费表'!B20,0)</f>
        <v>3402</v>
      </c>
      <c r="D28" s="279"/>
      <c r="E28" s="280"/>
      <c r="F28" s="290"/>
      <c r="G28" s="291"/>
    </row>
    <row r="29" spans="1:7" s="258" customFormat="1" ht="13.5" customHeight="1">
      <c r="A29" s="951" t="s">
        <v>792</v>
      </c>
      <c r="B29" s="292" t="s">
        <v>1060</v>
      </c>
      <c r="C29" s="282">
        <f>ROUND(C21*F27*'数据-取费表'!B21/'数据-取费表'!B20,4)</f>
        <v>4.3E-3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31633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39425</v>
      </c>
      <c r="D34" s="261"/>
      <c r="E34" s="264"/>
      <c r="F34" s="301">
        <f>IF('数据-取费表'!B24=0,1,'数据-取费表'!N16)</f>
        <v>0.9</v>
      </c>
      <c r="G34" s="263" t="s">
        <v>116</v>
      </c>
    </row>
    <row r="35" spans="1:7" ht="13.5" customHeight="1">
      <c r="A35" s="951" t="s">
        <v>796</v>
      </c>
      <c r="B35" s="259" t="s">
        <v>60</v>
      </c>
      <c r="C35" s="264">
        <f>ROUND(C34*F35,0)</f>
        <v>1971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2025</v>
      </c>
      <c r="D37" s="261">
        <f>'数据-汇总表'!E3</f>
        <v>112500.81000000001</v>
      </c>
      <c r="E37" s="293">
        <f>'数据-取费表'!B35</f>
        <v>200</v>
      </c>
      <c r="F37" s="303"/>
      <c r="G37" s="305" t="s">
        <v>119</v>
      </c>
    </row>
    <row r="38" spans="1:7" ht="13.5" customHeight="1">
      <c r="A38" s="951" t="s">
        <v>799</v>
      </c>
      <c r="B38" s="259" t="s">
        <v>63</v>
      </c>
      <c r="C38" s="264">
        <f>ROUND(C34*F38,0)</f>
        <v>591</v>
      </c>
      <c r="D38" s="264"/>
      <c r="E38" s="264"/>
      <c r="F38" s="303">
        <f>'数据-取费表'!B36</f>
        <v>1.4999999999999999E-2</v>
      </c>
      <c r="G38" s="263" t="s">
        <v>117</v>
      </c>
    </row>
    <row r="39" spans="1:7" s="258" customFormat="1" ht="13.5" customHeight="1">
      <c r="A39" s="948" t="s">
        <v>783</v>
      </c>
      <c r="B39" s="254" t="s">
        <v>104</v>
      </c>
      <c r="C39" s="276">
        <f>ROUND(C33*F20,0)</f>
        <v>1320</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1824</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1771</v>
      </c>
      <c r="D42" s="282"/>
      <c r="E42" s="282"/>
      <c r="F42" s="283"/>
      <c r="G42" s="3168" t="s">
        <v>121</v>
      </c>
    </row>
    <row r="43" spans="1:7" ht="13.5" customHeight="1">
      <c r="A43" s="951" t="s">
        <v>792</v>
      </c>
      <c r="B43" s="259" t="s">
        <v>1061</v>
      </c>
      <c r="C43" s="282">
        <f ca="1">ROUND(IF('数据-取费表'!B22&lt;=1,C39*F22*'数据-取费表'!B21/2,C39*(POWER((1+F22),'数据-取费表'!B21/2)-1)),0)</f>
        <v>53</v>
      </c>
      <c r="D43" s="282"/>
      <c r="E43" s="282"/>
      <c r="F43" s="283"/>
      <c r="G43" s="3169"/>
    </row>
    <row r="44" spans="1:7" ht="13.5" customHeight="1">
      <c r="A44" s="951" t="s">
        <v>793</v>
      </c>
      <c r="B44" s="259" t="s">
        <v>1063</v>
      </c>
      <c r="C44" s="282">
        <f ca="1">ROUND(IF('数据-取费表'!B22&lt;=1,C40*F22*'数据-取费表'!B21/2,C40*(POWER((1+F22),'数据-取费表'!B21/2)-1)),4)</f>
        <v>1.1999999999999999E-3</v>
      </c>
      <c r="D44" s="282"/>
      <c r="E44" s="282"/>
      <c r="F44" s="283"/>
      <c r="G44" s="3170"/>
    </row>
    <row r="45" spans="1:7" s="258" customFormat="1" ht="13.5" customHeight="1">
      <c r="A45" s="948" t="s">
        <v>786</v>
      </c>
      <c r="B45" s="288" t="s">
        <v>112</v>
      </c>
      <c r="C45" s="289">
        <f>C46</f>
        <v>7706</v>
      </c>
      <c r="D45" s="279">
        <f>C47</f>
        <v>5.1000000000000004E-3</v>
      </c>
      <c r="E45" s="280" t="s">
        <v>129</v>
      </c>
      <c r="F45" s="290"/>
      <c r="G45" s="291" t="s">
        <v>1069</v>
      </c>
    </row>
    <row r="46" spans="1:7" s="258" customFormat="1" ht="13.5" customHeight="1">
      <c r="A46" s="951" t="s">
        <v>794</v>
      </c>
      <c r="B46" s="292" t="s">
        <v>1062</v>
      </c>
      <c r="C46" s="293">
        <f>ROUND((C33+C39)*F27,0)</f>
        <v>7706</v>
      </c>
      <c r="D46" s="307"/>
      <c r="E46" s="280"/>
      <c r="F46" s="290"/>
      <c r="G46" s="291"/>
    </row>
    <row r="47" spans="1:7" s="258" customFormat="1" ht="13.5" customHeight="1">
      <c r="A47" s="951" t="s">
        <v>792</v>
      </c>
      <c r="B47" s="292" t="s">
        <v>1064</v>
      </c>
      <c r="C47" s="282">
        <f>ROUND(C40*F27,4)</f>
        <v>5.1000000000000004E-3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60201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60201</v>
      </c>
      <c r="D51" s="276"/>
      <c r="E51" s="276"/>
      <c r="F51" s="308"/>
      <c r="G51" s="278" t="s">
        <v>64</v>
      </c>
    </row>
    <row r="52" spans="1:7" s="252" customFormat="1" ht="16.5" thickBot="1">
      <c r="A52" s="309" t="s">
        <v>65</v>
      </c>
      <c r="B52" s="310"/>
      <c r="C52" s="311">
        <f ca="1">C31+C51</f>
        <v>91834</v>
      </c>
      <c r="D52" s="310"/>
      <c r="E52" s="310"/>
      <c r="F52" s="310"/>
      <c r="G52" s="312"/>
    </row>
    <row r="55" spans="1:7" ht="15">
      <c r="B55" s="314" t="s">
        <v>66</v>
      </c>
      <c r="C55" s="315"/>
    </row>
    <row r="56" spans="1:7">
      <c r="B56" s="317" t="s">
        <v>67</v>
      </c>
      <c r="C56" s="318">
        <f ca="1">ROUND(C51/C52,3)</f>
        <v>0.65600000000000003</v>
      </c>
    </row>
    <row r="57" spans="1:7">
      <c r="B57" s="317" t="s">
        <v>68</v>
      </c>
      <c r="C57" s="319">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3" t="s">
        <v>156</v>
      </c>
      <c r="B1" s="3303"/>
      <c r="C1" s="3303"/>
      <c r="D1" s="3303"/>
      <c r="E1" s="3303"/>
      <c r="F1" s="330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4" t="s">
        <v>169</v>
      </c>
      <c r="B2" s="3304"/>
      <c r="C2" s="3304"/>
      <c r="D2" s="3304"/>
      <c r="E2" s="3304"/>
      <c r="F2" s="330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43439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 sqref="G22"/>
    </sheetView>
  </sheetViews>
  <sheetFormatPr defaultRowHeight="13.5"/>
  <cols>
    <col min="3" max="3" width="11.5" customWidth="1"/>
    <col min="4" max="4" width="18.75" customWidth="1"/>
  </cols>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4" t="s">
        <v>1634</v>
      </c>
      <c r="E3" s="1044" t="s">
        <v>1640</v>
      </c>
      <c r="F3" s="1044" t="s">
        <v>1634</v>
      </c>
      <c r="G3" s="1044" t="s">
        <v>1635</v>
      </c>
      <c r="H3" s="1044" t="s">
        <v>1634</v>
      </c>
      <c r="I3" s="1044" t="s">
        <v>1635</v>
      </c>
    </row>
    <row r="4" spans="1:9" ht="120">
      <c r="A4" s="1973"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4" s="1044">
        <f>项目基本情况!C17</f>
        <v>112500.81000000001</v>
      </c>
      <c r="C4" s="1044">
        <f>项目基本情况!C18</f>
        <v>24393.62</v>
      </c>
      <c r="D4" s="1044">
        <f ca="1">结果表!D118</f>
        <v>42635</v>
      </c>
      <c r="E4" s="1044">
        <f ca="1">结果表!E118</f>
        <v>3790</v>
      </c>
      <c r="F4" s="1044">
        <f ca="1">结果表!F118</f>
        <v>55377</v>
      </c>
      <c r="G4" s="1044">
        <f ca="1">结果表!G118</f>
        <v>4922</v>
      </c>
      <c r="H4" s="1044">
        <f ca="1">结果表!H118</f>
        <v>98012</v>
      </c>
      <c r="I4" s="1044">
        <f ca="1">结果表!I118</f>
        <v>8712</v>
      </c>
    </row>
    <row r="5" spans="1:9" ht="30" customHeight="1">
      <c r="A5" s="2984" t="s">
        <v>1636</v>
      </c>
      <c r="B5" s="2984"/>
      <c r="C5" s="2984"/>
      <c r="D5" s="2985" t="str">
        <f ca="1">结果表!D119</f>
        <v>肆亿贰仟陆佰叁拾伍万元整</v>
      </c>
      <c r="E5" s="2985"/>
      <c r="F5" s="2985" t="str">
        <f ca="1">结果表!F119</f>
        <v>伍亿伍仟叁佰柒拾柒万元整</v>
      </c>
      <c r="G5" s="2985"/>
      <c r="H5" s="2985" t="str">
        <f ca="1">结果表!H119</f>
        <v>玖亿捌仟零壹拾贰万元整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
      </c>
      <c r="B8" s="2986"/>
      <c r="C8" s="2986"/>
      <c r="D8" s="2986" t="str">
        <f>结果表!D122</f>
        <v>——</v>
      </c>
      <c r="E8" s="2986"/>
      <c r="F8" s="2986"/>
      <c r="G8" s="2986"/>
      <c r="H8" s="2986"/>
      <c r="I8" s="2986"/>
    </row>
    <row r="9" spans="1:9" ht="15">
      <c r="A9" s="2984" t="s">
        <v>1636</v>
      </c>
      <c r="B9" s="2984"/>
      <c r="C9" s="2984"/>
      <c r="D9" s="2985" t="e">
        <f>结果表!D123</f>
        <v>#VALUE!</v>
      </c>
      <c r="E9" s="2985"/>
      <c r="F9" s="2985"/>
      <c r="G9" s="2985"/>
      <c r="H9" s="2985"/>
      <c r="I9" s="2985"/>
    </row>
    <row r="10" spans="1:9" ht="15.75">
      <c r="A10" s="2986" t="str">
        <f>结果表!A124</f>
        <v>抵押担保权已注销时的房地产抵押价值</v>
      </c>
      <c r="B10" s="2986"/>
      <c r="C10" s="2986"/>
      <c r="D10" s="2986">
        <f ca="1">结果表!D124</f>
        <v>98012</v>
      </c>
      <c r="E10" s="2986"/>
      <c r="F10" s="2986"/>
      <c r="G10" s="2986"/>
      <c r="H10" s="2986"/>
      <c r="I10" s="2986"/>
    </row>
    <row r="11" spans="1:9" ht="15">
      <c r="A11" s="2984" t="s">
        <v>1636</v>
      </c>
      <c r="B11" s="2984"/>
      <c r="C11" s="2984"/>
      <c r="D11" s="2985" t="str">
        <f ca="1">结果表!D125</f>
        <v>玖亿捌仟零壹拾贰万元整</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3" t="s">
        <v>1658</v>
      </c>
      <c r="B1" s="2993"/>
      <c r="C1" s="2993"/>
      <c r="D1" s="2993"/>
    </row>
    <row r="2" spans="1:4" ht="18">
      <c r="A2" s="2994" t="s">
        <v>1642</v>
      </c>
      <c r="B2" s="2994"/>
      <c r="C2" s="2994"/>
      <c r="D2" s="2994"/>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2994" t="s">
        <v>1648</v>
      </c>
      <c r="B6" s="2994"/>
      <c r="C6" s="2994"/>
      <c r="D6" s="299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（1）根据估价对象《国有土地使用证》复印件、《不动产权证书》复印件，截至价值时点，估价对象抵押权未见登记。</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7" t="s">
        <v>1665</v>
      </c>
      <c r="B15" s="3002" t="s">
        <v>136</v>
      </c>
      <c r="C15" s="3003"/>
    </row>
    <row r="16" spans="1:7" ht="13.5">
      <c r="A16" s="3008"/>
      <c r="B16" s="3002" t="s">
        <v>69</v>
      </c>
      <c r="C16" s="3003"/>
    </row>
    <row r="17" spans="1:3" ht="13.5">
      <c r="A17" s="3008"/>
      <c r="B17" s="3005" t="s">
        <v>1666</v>
      </c>
      <c r="C17" s="2000" t="s">
        <v>1665</v>
      </c>
    </row>
    <row r="18" spans="1:3" ht="13.5">
      <c r="A18" s="3008"/>
      <c r="B18" s="3005"/>
      <c r="C18" s="2000" t="s">
        <v>1667</v>
      </c>
    </row>
    <row r="19" spans="1:3" ht="13.5">
      <c r="A19" s="3008"/>
      <c r="B19" s="3005"/>
      <c r="C19" s="2000" t="s">
        <v>1668</v>
      </c>
    </row>
    <row r="20" spans="1:3" ht="13.5">
      <c r="A20" s="3009"/>
      <c r="B20" s="3004" t="s">
        <v>1669</v>
      </c>
      <c r="C20" s="3003"/>
    </row>
    <row r="21" spans="1:3" ht="13.5">
      <c r="A21" s="2001" t="s">
        <v>1670</v>
      </c>
      <c r="B21" s="2002"/>
      <c r="C21" s="2003"/>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0" t="s">
        <v>1676</v>
      </c>
    </row>
    <row r="26" spans="1:3" ht="13.5">
      <c r="A26" s="3006"/>
      <c r="B26" s="3005"/>
      <c r="C26" s="2000" t="s">
        <v>1677</v>
      </c>
    </row>
    <row r="27" spans="1:3" ht="13.5">
      <c r="A27" s="3006"/>
      <c r="B27" s="3005"/>
      <c r="C27" s="2000" t="s">
        <v>1678</v>
      </c>
    </row>
    <row r="28" spans="1:3" ht="13.5">
      <c r="A28" s="3006"/>
      <c r="B28" s="3005"/>
      <c r="C28" s="2000" t="s">
        <v>1679</v>
      </c>
    </row>
    <row r="29" spans="1:3" ht="13.5">
      <c r="A29" s="3006"/>
      <c r="B29" s="3005"/>
      <c r="C29" s="2000" t="s">
        <v>1680</v>
      </c>
    </row>
    <row r="30" spans="1:3" ht="13.5">
      <c r="A30" s="3006"/>
      <c r="B30" s="3005"/>
      <c r="C30" s="2000" t="s">
        <v>1681</v>
      </c>
    </row>
    <row r="31" spans="1:3" ht="13.5">
      <c r="A31" s="3006"/>
      <c r="B31" s="3005"/>
      <c r="C31" s="2000" t="s">
        <v>1682</v>
      </c>
    </row>
    <row r="32" spans="1:3" ht="13.5">
      <c r="A32" s="3006"/>
      <c r="B32" s="3005"/>
      <c r="C32" s="2000" t="s">
        <v>1683</v>
      </c>
    </row>
    <row r="33" spans="1:3" ht="13.5">
      <c r="A33" s="3006"/>
      <c r="B33" s="3005"/>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3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36">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3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收益法-地上研发</vt:lpstr>
      <vt:lpstr>收益法-地下研发</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'收益法-地上研发'!Print_Area</vt:lpstr>
      <vt:lpstr>'收益法-地下车库'!Print_Area</vt:lpstr>
      <vt:lpstr>'收益法-地下研发'!Print_Area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2018-12-13T06:48:21Z</dcterms:modified>
</cp:coreProperties>
</file>