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0" r:id="rId20"/>
    <sheet name="成本法 (元)" sheetId="69" state="hidden" r:id="rId21"/>
    <sheet name="假设开发法" sheetId="12" state="hidden" r:id="rId22"/>
    <sheet name="收益法" sheetId="15" state="hidden" r:id="rId23"/>
    <sheet name="收益法（汇总）" sheetId="70" state="hidden" r:id="rId24"/>
    <sheet name="酒店收入计算" sheetId="66"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修正" sheetId="45" state="hidden" r:id="rId33"/>
    <sheet name="容积率修正" sheetId="46" state="hidden" r:id="rId34"/>
    <sheet name="基准地价（汇总）" sheetId="76" state="hidden" r:id="rId35"/>
    <sheet name="地价" sheetId="71" state="hidden" r:id="rId36"/>
    <sheet name="办公案例" sheetId="79" r:id="rId37"/>
    <sheet name="收益法-办公" sheetId="67" r:id="rId38"/>
    <sheet name="典型户型修正" sheetId="31" r:id="rId39"/>
    <sheet name="结果表-住宅" sheetId="78" state="hidden" r:id="rId40"/>
    <sheet name="比较法-住宅" sheetId="21" state="hidden" r:id="rId41"/>
    <sheet name="收益法-住宅" sheetId="77" state="hidden" r:id="rId42"/>
    <sheet name="基准地价修正" sheetId="43"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'收益法-办公'!$A$1:$AK$69</definedName>
    <definedName name="_xlnm.Print_Area" localSheetId="41">'收益法-住宅'!$A$1:$AK$69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9" i="6" l="1"/>
  <c r="AY3" i="3"/>
  <c r="A120" i="80" l="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5" i="80"/>
  <c r="D34" i="80"/>
  <c r="H111" i="80" l="1"/>
  <c r="D126" i="80" s="1"/>
  <c r="D127" i="80" s="1"/>
  <c r="A126" i="80"/>
  <c r="C92" i="80"/>
  <c r="C94" i="80"/>
  <c r="K120" i="80"/>
  <c r="D121" i="80"/>
  <c r="H109" i="80"/>
  <c r="D124" i="80" l="1"/>
  <c r="D125" i="80" s="1"/>
  <c r="H110" i="80"/>
  <c r="I5" i="34" l="1"/>
  <c r="G5" i="34"/>
  <c r="E5" i="34"/>
  <c r="A120" i="78"/>
  <c r="E111" i="78"/>
  <c r="A126" i="78" s="1"/>
  <c r="E109" i="78"/>
  <c r="A124" i="78" s="1"/>
  <c r="E107" i="78"/>
  <c r="A122" i="78" s="1"/>
  <c r="H106" i="78"/>
  <c r="H103" i="78" s="1"/>
  <c r="D120" i="78" s="1"/>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C18" i="78" s="1"/>
  <c r="D18" i="78" s="1"/>
  <c r="L4" i="78"/>
  <c r="K4" i="78"/>
  <c r="H1" i="78"/>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C37" i="21"/>
  <c r="N22" i="1"/>
  <c r="N24" i="1" s="1"/>
  <c r="N25" i="1" s="1"/>
  <c r="Y6" i="1" s="1"/>
  <c r="C37" i="34" s="1"/>
  <c r="D3" i="4"/>
  <c r="D34" i="78"/>
  <c r="D35" i="78"/>
  <c r="H111" i="78" l="1"/>
  <c r="D126" i="78" s="1"/>
  <c r="D127" i="78" s="1"/>
  <c r="D22" i="77"/>
  <c r="I37" i="34"/>
  <c r="E37" i="34"/>
  <c r="G37" i="34"/>
  <c r="I37" i="21"/>
  <c r="E37" i="21"/>
  <c r="G37" i="21"/>
  <c r="D23" i="77"/>
  <c r="C92" i="78"/>
  <c r="C94" i="78"/>
  <c r="K120" i="78"/>
  <c r="D121" i="78"/>
  <c r="H109" i="78"/>
  <c r="H112" i="78"/>
  <c r="P61" i="77"/>
  <c r="D124" i="78" l="1"/>
  <c r="D125" i="78" s="1"/>
  <c r="H110" i="78"/>
  <c r="I54" i="77"/>
  <c r="AH5" i="7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P12" i="71"/>
  <c r="E11" i="71"/>
  <c r="E10" i="71" s="1"/>
  <c r="E9" i="71" s="1"/>
  <c r="O12" i="71"/>
  <c r="N12" i="71"/>
  <c r="V11" i="71"/>
  <c r="A2" i="53"/>
  <c r="K59" i="67"/>
  <c r="K59" i="15"/>
  <c r="P74" i="15" s="1"/>
  <c r="P61" i="15"/>
  <c r="D116" i="39"/>
  <c r="E116" i="39"/>
  <c r="F116" i="39"/>
  <c r="G116" i="39"/>
  <c r="H116" i="39"/>
  <c r="I116" i="39"/>
  <c r="J116" i="39"/>
  <c r="K116" i="39"/>
  <c r="L116" i="39"/>
  <c r="M116" i="39"/>
  <c r="C116" i="39"/>
  <c r="A21" i="62"/>
  <c r="A20" i="62"/>
  <c r="A22" i="51"/>
  <c r="A21" i="51"/>
  <c r="A20" i="51"/>
  <c r="A15" i="62"/>
  <c r="B61" i="72" s="1"/>
  <c r="A14" i="62"/>
  <c r="A13" i="62"/>
  <c r="B59" i="72" s="1"/>
  <c r="A19" i="62"/>
  <c r="A12" i="62"/>
  <c r="B58" i="72" s="1"/>
  <c r="A120" i="9"/>
  <c r="H2" i="52"/>
  <c r="A1" i="52"/>
  <c r="A3" i="53"/>
  <c r="Q13" i="71"/>
  <c r="P13" i="71"/>
  <c r="O13" i="71"/>
  <c r="N13"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C50" i="71" s="1"/>
  <c r="N49" i="71"/>
  <c r="Q48" i="71"/>
  <c r="F49" i="71" s="1"/>
  <c r="F50" i="71" s="1"/>
  <c r="F51" i="71" s="1"/>
  <c r="V51" i="71" s="1"/>
  <c r="P48" i="71"/>
  <c r="E49" i="71"/>
  <c r="E50" i="71" s="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C41" i="71"/>
  <c r="Q40" i="71"/>
  <c r="F41" i="71"/>
  <c r="F42" i="71" s="1"/>
  <c r="F43" i="71" s="1"/>
  <c r="V43" i="71" s="1"/>
  <c r="P40" i="71"/>
  <c r="E41" i="71" s="1"/>
  <c r="E42"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c r="D36" i="71"/>
  <c r="T35" i="71"/>
  <c r="Q35" i="71"/>
  <c r="P35" i="71"/>
  <c r="O35" i="71"/>
  <c r="N35" i="71"/>
  <c r="D35" i="71"/>
  <c r="Q34" i="71"/>
  <c r="P34" i="71"/>
  <c r="O34" i="71"/>
  <c r="N34" i="71"/>
  <c r="Q33" i="71"/>
  <c r="P33" i="71"/>
  <c r="O33" i="71"/>
  <c r="N33" i="71"/>
  <c r="F33" i="71"/>
  <c r="F34" i="71" s="1"/>
  <c r="F35" i="71" s="1"/>
  <c r="V35" i="71" s="1"/>
  <c r="Q32" i="7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F31" i="71"/>
  <c r="V31" i="71" s="1"/>
  <c r="Q28" i="71"/>
  <c r="F29" i="71" s="1"/>
  <c r="F30" i="71" s="1"/>
  <c r="P28" i="71"/>
  <c r="E29" i="71"/>
  <c r="E30" i="71" s="1"/>
  <c r="E31" i="71"/>
  <c r="U31" i="71" s="1"/>
  <c r="O28" i="71"/>
  <c r="C29" i="71" s="1"/>
  <c r="N28" i="71"/>
  <c r="B29" i="71" s="1"/>
  <c r="B30" i="71" s="1"/>
  <c r="B31" i="71" s="1"/>
  <c r="S31" i="71" s="1"/>
  <c r="D28" i="71"/>
  <c r="Q27" i="71"/>
  <c r="P27" i="71"/>
  <c r="O27" i="71"/>
  <c r="N27" i="71"/>
  <c r="AB26" i="71"/>
  <c r="Q26" i="71"/>
  <c r="P26" i="71"/>
  <c r="O26" i="71"/>
  <c r="N26" i="71"/>
  <c r="X26" i="71"/>
  <c r="Q25" i="71"/>
  <c r="AB25" i="71"/>
  <c r="P25" i="71"/>
  <c r="O25" i="71"/>
  <c r="N25" i="71"/>
  <c r="Q24" i="71"/>
  <c r="F25" i="71" s="1"/>
  <c r="F26" i="71" s="1"/>
  <c r="F27" i="71" s="1"/>
  <c r="V27" i="71" s="1"/>
  <c r="P24" i="71"/>
  <c r="O24" i="71"/>
  <c r="N24" i="71"/>
  <c r="D24" i="71"/>
  <c r="Q23" i="71"/>
  <c r="AB23" i="71"/>
  <c r="P23" i="71"/>
  <c r="O23" i="71"/>
  <c r="N23" i="71"/>
  <c r="Q22" i="71"/>
  <c r="AB22" i="71" s="1"/>
  <c r="P22" i="71"/>
  <c r="O22" i="71"/>
  <c r="N22" i="71"/>
  <c r="Q21" i="71"/>
  <c r="P21" i="71"/>
  <c r="AA21" i="71" s="1"/>
  <c r="O21" i="71"/>
  <c r="Y21" i="71"/>
  <c r="Z21" i="71" s="1"/>
  <c r="N21" i="71"/>
  <c r="X21" i="71" s="1"/>
  <c r="V23" i="71"/>
  <c r="Q20" i="71"/>
  <c r="F21" i="71" s="1"/>
  <c r="F22" i="71" s="1"/>
  <c r="F23" i="71" s="1"/>
  <c r="P20" i="71"/>
  <c r="O20" i="71"/>
  <c r="N20" i="71"/>
  <c r="X20" i="71" s="1"/>
  <c r="D20" i="71"/>
  <c r="Q19" i="71"/>
  <c r="AB19" i="71" s="1"/>
  <c r="P19" i="71"/>
  <c r="O19" i="71"/>
  <c r="Y19" i="71"/>
  <c r="Z19" i="71" s="1"/>
  <c r="N19" i="71"/>
  <c r="Q18" i="71"/>
  <c r="AB18" i="71"/>
  <c r="P18" i="71"/>
  <c r="O18" i="71"/>
  <c r="N18" i="71"/>
  <c r="Q17" i="71"/>
  <c r="P17" i="71"/>
  <c r="O17" i="71"/>
  <c r="N17" i="71"/>
  <c r="Q16" i="71"/>
  <c r="F17" i="71" s="1"/>
  <c r="F18" i="71" s="1"/>
  <c r="F19" i="71" s="1"/>
  <c r="V19" i="71" s="1"/>
  <c r="P16" i="71"/>
  <c r="O16" i="71"/>
  <c r="N16" i="71"/>
  <c r="D16" i="71"/>
  <c r="O15" i="71"/>
  <c r="N15" i="71"/>
  <c r="B17" i="71"/>
  <c r="B18" i="71" s="1"/>
  <c r="B19" i="71"/>
  <c r="S19" i="71" s="1"/>
  <c r="B21" i="71"/>
  <c r="B22" i="71" s="1"/>
  <c r="B23" i="71" s="1"/>
  <c r="S23" i="71" s="1"/>
  <c r="B25" i="71"/>
  <c r="B26" i="71"/>
  <c r="B27" i="71" s="1"/>
  <c r="S27" i="71" s="1"/>
  <c r="X24" i="71"/>
  <c r="E25" i="71"/>
  <c r="E26" i="71" s="1"/>
  <c r="E27" i="71"/>
  <c r="U27" i="71" s="1"/>
  <c r="AA24" i="71"/>
  <c r="N55" i="71"/>
  <c r="C17" i="71"/>
  <c r="AA18" i="71"/>
  <c r="C21" i="71"/>
  <c r="C22" i="71"/>
  <c r="D22" i="71" s="1"/>
  <c r="X22" i="71"/>
  <c r="X23" i="71"/>
  <c r="C25" i="71"/>
  <c r="C26" i="71" s="1"/>
  <c r="AB24" i="71"/>
  <c r="X25" i="71"/>
  <c r="F38" i="71"/>
  <c r="F39" i="71" s="1"/>
  <c r="V39" i="71" s="1"/>
  <c r="Y3" i="71"/>
  <c r="Z3" i="71" s="1"/>
  <c r="B15" i="71"/>
  <c r="B14" i="71"/>
  <c r="B13" i="71" s="1"/>
  <c r="C18" i="71"/>
  <c r="D18" i="71" s="1"/>
  <c r="D17" i="71"/>
  <c r="D21" i="71"/>
  <c r="C30" i="71"/>
  <c r="D29" i="71"/>
  <c r="C38" i="71"/>
  <c r="D38" i="71" s="1"/>
  <c r="D37" i="71"/>
  <c r="P15" i="71"/>
  <c r="E43" i="71"/>
  <c r="U43" i="71" s="1"/>
  <c r="E46" i="71"/>
  <c r="E47" i="71" s="1"/>
  <c r="U47" i="71" s="1"/>
  <c r="E51" i="71"/>
  <c r="U51" i="71" s="1"/>
  <c r="U55" i="71"/>
  <c r="E54" i="71"/>
  <c r="E53" i="71" s="1"/>
  <c r="P53" i="71" s="1"/>
  <c r="Q15" i="71"/>
  <c r="C46" i="71"/>
  <c r="D45" i="71"/>
  <c r="O55" i="71"/>
  <c r="C54" i="71"/>
  <c r="C58" i="71"/>
  <c r="D58" i="71" s="1"/>
  <c r="E58" i="71"/>
  <c r="E57" i="71"/>
  <c r="D59" i="71"/>
  <c r="C62" i="71"/>
  <c r="C61" i="71" s="1"/>
  <c r="E62" i="71"/>
  <c r="E61" i="71"/>
  <c r="C66" i="71"/>
  <c r="C65" i="71" s="1"/>
  <c r="D65" i="71" s="1"/>
  <c r="E66" i="71"/>
  <c r="E65" i="71"/>
  <c r="D67" i="71"/>
  <c r="C70" i="71"/>
  <c r="D70" i="71" s="1"/>
  <c r="C74" i="71"/>
  <c r="S15" i="71"/>
  <c r="F15" i="71"/>
  <c r="E15" i="71"/>
  <c r="C69" i="71"/>
  <c r="D69" i="71" s="1"/>
  <c r="D62" i="71"/>
  <c r="D61" i="71"/>
  <c r="D74" i="71"/>
  <c r="C73" i="71"/>
  <c r="D73" i="71" s="1"/>
  <c r="C57" i="71"/>
  <c r="D57" i="71" s="1"/>
  <c r="P54" i="71"/>
  <c r="C31" i="71"/>
  <c r="T31" i="71" s="1"/>
  <c r="D30" i="71"/>
  <c r="C23" i="71"/>
  <c r="T23" i="71" s="1"/>
  <c r="P52" i="71"/>
  <c r="D23" i="71"/>
  <c r="D3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5"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J21" i="34"/>
  <c r="W21" i="34" s="1"/>
  <c r="J21" i="33"/>
  <c r="H21" i="21"/>
  <c r="U21" i="21" s="1"/>
  <c r="F38" i="69"/>
  <c r="E37" i="69"/>
  <c r="F36" i="69"/>
  <c r="F35" i="69"/>
  <c r="F21" i="69"/>
  <c r="C21" i="69" s="1"/>
  <c r="F20" i="69"/>
  <c r="E10" i="69"/>
  <c r="E9" i="69"/>
  <c r="C7" i="69"/>
  <c r="AC21" i="34"/>
  <c r="AB21" i="21"/>
  <c r="J21" i="21"/>
  <c r="C40" i="69"/>
  <c r="F38" i="68"/>
  <c r="E37" i="68"/>
  <c r="F36" i="68"/>
  <c r="F35" i="68"/>
  <c r="F21" i="68"/>
  <c r="C21" i="68" s="1"/>
  <c r="F20" i="68"/>
  <c r="E10" i="68"/>
  <c r="E9" i="68"/>
  <c r="C7"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U9" i="36"/>
  <c r="S30" i="36"/>
  <c r="AA31" i="36"/>
  <c r="AC31" i="36"/>
  <c r="W31" i="36"/>
  <c r="U31" i="36"/>
  <c r="J33" i="36"/>
  <c r="W33" i="36"/>
  <c r="H22" i="35"/>
  <c r="AB22" i="35"/>
  <c r="W28" i="35"/>
  <c r="U31" i="35"/>
  <c r="S31" i="35"/>
  <c r="F36" i="34"/>
  <c r="J35" i="34"/>
  <c r="W9" i="34"/>
  <c r="S34" i="34"/>
  <c r="U34" i="34"/>
  <c r="H39" i="33"/>
  <c r="AB39" i="33"/>
  <c r="U33" i="33"/>
  <c r="S40" i="33"/>
  <c r="W39" i="33"/>
  <c r="H39" i="37"/>
  <c r="AB39" i="37"/>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s="1"/>
  <c r="S35" i="34"/>
  <c r="F28" i="34"/>
  <c r="AA28" i="34" s="1"/>
  <c r="F25" i="34"/>
  <c r="S25" i="34" s="1"/>
  <c r="H23" i="34"/>
  <c r="U23" i="34" s="1"/>
  <c r="J23" i="34"/>
  <c r="F19" i="34"/>
  <c r="H17" i="34"/>
  <c r="U17" i="34" s="1"/>
  <c r="F15" i="34"/>
  <c r="AA15" i="34" s="1"/>
  <c r="J15" i="34"/>
  <c r="H15" i="34"/>
  <c r="AB15" i="34" s="1"/>
  <c r="J28" i="34"/>
  <c r="W28" i="34" s="1"/>
  <c r="F41" i="33"/>
  <c r="AA41" i="33"/>
  <c r="S38" i="33"/>
  <c r="E113" i="33"/>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AB38" i="21"/>
  <c r="F43" i="33"/>
  <c r="AA43" i="33"/>
  <c r="W15" i="34"/>
  <c r="AC15" i="34"/>
  <c r="W16" i="35"/>
  <c r="W40"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S11" i="39"/>
  <c r="G4" i="4"/>
  <c r="I4" i="4"/>
  <c r="K5" i="4"/>
  <c r="B47" i="48" s="1"/>
  <c r="A2" i="9"/>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35" i="21"/>
  <c r="AC35" i="21"/>
  <c r="G8" i="1"/>
  <c r="G9" i="1"/>
  <c r="G10" i="1"/>
  <c r="F48" i="9"/>
  <c r="O52" i="9" s="1"/>
  <c r="AC11" i="39"/>
  <c r="AZ563" i="3"/>
  <c r="AZ501" i="3"/>
  <c r="W37" i="37"/>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2" i="43"/>
  <c r="K9" i="1"/>
  <c r="M9" i="1" s="1"/>
  <c r="AE9" i="1"/>
  <c r="D93" i="9"/>
  <c r="G29" i="6"/>
  <c r="AC26" i="33"/>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W41" i="21"/>
  <c r="AB39" i="21"/>
  <c r="S39" i="21"/>
  <c r="AA38" i="21"/>
  <c r="AA36" i="21"/>
  <c r="AC40" i="21"/>
  <c r="J15" i="21"/>
  <c r="W15" i="21" s="1"/>
  <c r="F77" i="21"/>
  <c r="G77" i="21" s="1"/>
  <c r="F23" i="21"/>
  <c r="S23" i="21" s="1"/>
  <c r="E85" i="21"/>
  <c r="AC11" i="21"/>
  <c r="AA14" i="21"/>
  <c r="AB8" i="21"/>
  <c r="S8" i="21"/>
  <c r="M3" i="43"/>
  <c r="M1" i="43"/>
  <c r="N8" i="43"/>
  <c r="D120" i="9"/>
  <c r="C18" i="9"/>
  <c r="D18" i="9"/>
  <c r="F34" i="67"/>
  <c r="F62" i="67" s="1"/>
  <c r="M20" i="67"/>
  <c r="F34" i="15"/>
  <c r="F62" i="15" s="1"/>
  <c r="G13" i="3"/>
  <c r="BA13" i="3"/>
  <c r="E10" i="6"/>
  <c r="E11" i="6"/>
  <c r="BL17" i="3"/>
  <c r="AZ17" i="3" s="1"/>
  <c r="BL13" i="3"/>
  <c r="J56" i="9"/>
  <c r="J57" i="9" s="1"/>
  <c r="J59" i="9" s="1"/>
  <c r="J61" i="9" s="1"/>
  <c r="A24" i="51"/>
  <c r="B18" i="72" s="1"/>
  <c r="U29" i="34"/>
  <c r="E14" i="6"/>
  <c r="E5" i="6"/>
  <c r="D9" i="11" s="1"/>
  <c r="C9" i="11" s="1"/>
  <c r="P10" i="1"/>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s="1"/>
  <c r="C48" i="35"/>
  <c r="D48" i="35" s="1"/>
  <c r="E48" i="35" s="1"/>
  <c r="C4" i="12"/>
  <c r="H55" i="43"/>
  <c r="H56" i="43"/>
  <c r="H72" i="43"/>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s="1"/>
  <c r="K101" i="21" s="1"/>
  <c r="L101" i="21" s="1"/>
  <c r="M101" i="21" s="1"/>
  <c r="F33" i="21"/>
  <c r="J33" i="21"/>
  <c r="W33" i="21" s="1"/>
  <c r="H33" i="21"/>
  <c r="AB33" i="21"/>
  <c r="F37" i="21"/>
  <c r="AA37" i="21" s="1"/>
  <c r="AB14" i="21"/>
  <c r="AB46" i="21"/>
  <c r="U40" i="21"/>
  <c r="AB31" i="21"/>
  <c r="U31" i="21"/>
  <c r="U13" i="21"/>
  <c r="AB13" i="21"/>
  <c r="W8" i="21"/>
  <c r="S35" i="21"/>
  <c r="AB37" i="21"/>
  <c r="J37" i="21"/>
  <c r="W37" i="21" s="1"/>
  <c r="H15" i="21"/>
  <c r="U15" i="21"/>
  <c r="J17" i="21"/>
  <c r="AC17" i="21"/>
  <c r="AC19" i="21"/>
  <c r="W39" i="21"/>
  <c r="AC14" i="21"/>
  <c r="W30" i="21"/>
  <c r="S46" i="21"/>
  <c r="H45" i="21"/>
  <c r="U45" i="21" s="1"/>
  <c r="F29" i="21"/>
  <c r="S29" i="21" s="1"/>
  <c r="F13" i="21"/>
  <c r="AA13" i="21" s="1"/>
  <c r="AC38" i="21"/>
  <c r="H32" i="21"/>
  <c r="H9" i="21"/>
  <c r="AB9" i="21" s="1"/>
  <c r="J9" i="21"/>
  <c r="J32" i="21"/>
  <c r="F32" i="21"/>
  <c r="AA31" i="21"/>
  <c r="U17" i="21"/>
  <c r="W29" i="21"/>
  <c r="S19" i="21"/>
  <c r="S9" i="21"/>
  <c r="AA9" i="21"/>
  <c r="K141" i="21"/>
  <c r="K144" i="21"/>
  <c r="K143" i="21"/>
  <c r="U27" i="21"/>
  <c r="AB25" i="21"/>
  <c r="AB44" i="21"/>
  <c r="AA30" i="21"/>
  <c r="W13" i="21"/>
  <c r="AC45" i="21"/>
  <c r="F10" i="21"/>
  <c r="S10" i="21" s="1"/>
  <c r="K145" i="21"/>
  <c r="W17"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9" i="69"/>
  <c r="C9" i="69" s="1"/>
  <c r="AQ9" i="1"/>
  <c r="T9" i="1"/>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AA23" i="21"/>
  <c r="AB15" i="21"/>
  <c r="J23" i="21"/>
  <c r="F85" i="21"/>
  <c r="G85" i="21" s="1"/>
  <c r="H23" i="21"/>
  <c r="AB23" i="21" s="1"/>
  <c r="S13" i="21"/>
  <c r="D6" i="52"/>
  <c r="D121" i="9"/>
  <c r="D7" i="52"/>
  <c r="K120" i="9"/>
  <c r="A18" i="62" s="1"/>
  <c r="B64" i="72" s="1"/>
  <c r="AB45" i="21"/>
  <c r="AC33" i="21"/>
  <c r="S33" i="21"/>
  <c r="AA33" i="21"/>
  <c r="W32" i="21"/>
  <c r="AC32" i="21"/>
  <c r="AA32" i="21"/>
  <c r="S32" i="21"/>
  <c r="W9" i="21"/>
  <c r="AC9" i="21"/>
  <c r="AB32" i="21"/>
  <c r="U32" i="21"/>
  <c r="U32" i="39"/>
  <c r="AB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W11" i="34" s="1"/>
  <c r="AC36" i="33"/>
  <c r="W36" i="33"/>
  <c r="U36" i="33"/>
  <c r="W27" i="33"/>
  <c r="W25" i="33"/>
  <c r="AA23" i="33"/>
  <c r="S23" i="33"/>
  <c r="AB19" i="33"/>
  <c r="AA17" i="33"/>
  <c r="U17" i="33"/>
  <c r="AB17" i="33"/>
  <c r="U23" i="21"/>
  <c r="AC23" i="21"/>
  <c r="W23" i="21"/>
  <c r="F1" i="15"/>
  <c r="Q52" i="15"/>
  <c r="AC11" i="37"/>
  <c r="F34" i="11"/>
  <c r="F11" i="12"/>
  <c r="F34" i="68"/>
  <c r="R8" i="1"/>
  <c r="AE8" i="1"/>
  <c r="AG6" i="1"/>
  <c r="H109" i="9"/>
  <c r="H110" i="9" s="1"/>
  <c r="D18" i="53" s="1"/>
  <c r="B35" i="72" s="1"/>
  <c r="D16" i="53"/>
  <c r="B34" i="72" s="1"/>
  <c r="J7" i="33"/>
  <c r="W7" i="33" s="1"/>
  <c r="F7" i="33"/>
  <c r="S7" i="33" s="1"/>
  <c r="H7" i="33"/>
  <c r="AB7" i="33" s="1"/>
  <c r="T48" i="33" s="1"/>
  <c r="G48" i="33" s="1"/>
  <c r="H112" i="9"/>
  <c r="D21" i="53" s="1"/>
  <c r="B39" i="72" s="1"/>
  <c r="D59" i="9"/>
  <c r="M55" i="9" s="1"/>
  <c r="AD3" i="71"/>
  <c r="B4" i="62"/>
  <c r="B71" i="72" s="1"/>
  <c r="M24" i="67"/>
  <c r="F20" i="31"/>
  <c r="E9" i="76"/>
  <c r="M26" i="67"/>
  <c r="B10" i="76"/>
  <c r="F13" i="67"/>
  <c r="D2" i="33"/>
  <c r="F40" i="15"/>
  <c r="D2" i="34"/>
  <c r="F3" i="73"/>
  <c r="AO13" i="1"/>
  <c r="L47" i="15"/>
  <c r="M27" i="67"/>
  <c r="F8" i="67"/>
  <c r="M23" i="67"/>
  <c r="F40" i="67"/>
  <c r="D2" i="36"/>
  <c r="M8" i="15"/>
  <c r="M26" i="15"/>
  <c r="E11" i="76"/>
  <c r="E10" i="76"/>
  <c r="E8" i="76"/>
  <c r="F36" i="15"/>
  <c r="M6" i="15"/>
  <c r="D2" i="35"/>
  <c r="C76" i="15"/>
  <c r="M28" i="15"/>
  <c r="F36" i="67"/>
  <c r="M22" i="15"/>
  <c r="M6" i="67"/>
  <c r="B11" i="76"/>
  <c r="E13" i="76"/>
  <c r="AO12" i="1"/>
  <c r="C76" i="67"/>
  <c r="F6" i="15"/>
  <c r="F9" i="67"/>
  <c r="AO11" i="1"/>
  <c r="F6" i="67"/>
  <c r="L48" i="67"/>
  <c r="F37" i="67"/>
  <c r="L47" i="67"/>
  <c r="F38" i="15"/>
  <c r="D34" i="9"/>
  <c r="B9" i="76"/>
  <c r="AO10" i="1"/>
  <c r="D35" i="9"/>
  <c r="F8" i="15"/>
  <c r="B8" i="76"/>
  <c r="F6" i="73"/>
  <c r="F37" i="15"/>
  <c r="D2" i="37"/>
  <c r="M9" i="67"/>
  <c r="F4" i="73"/>
  <c r="M28" i="67"/>
  <c r="M9" i="15"/>
  <c r="B13" i="76"/>
  <c r="M8" i="67"/>
  <c r="E2" i="68"/>
  <c r="E2" i="69"/>
  <c r="B7" i="76"/>
  <c r="M22" i="67"/>
  <c r="F38" i="67"/>
  <c r="J15" i="15"/>
  <c r="M27" i="15"/>
  <c r="F13" i="15"/>
  <c r="F42" i="67"/>
  <c r="F42" i="15"/>
  <c r="F26" i="15"/>
  <c r="E12" i="76"/>
  <c r="F9" i="15"/>
  <c r="AO8" i="1"/>
  <c r="B12" i="76"/>
  <c r="J15" i="67"/>
  <c r="L48" i="15"/>
  <c r="F7" i="73"/>
  <c r="E7" i="76"/>
  <c r="F16" i="15"/>
  <c r="F16" i="67"/>
  <c r="AO9" i="1"/>
  <c r="F5" i="73"/>
  <c r="M24" i="15"/>
  <c r="M23" i="15"/>
  <c r="F26" i="67"/>
  <c r="D2" i="21"/>
  <c r="H111" i="9" l="1"/>
  <c r="B19" i="53"/>
  <c r="B37" i="72" s="1"/>
  <c r="E28" i="6"/>
  <c r="K14" i="1" s="1"/>
  <c r="M14" i="1" s="1"/>
  <c r="G30" i="6"/>
  <c r="G31" i="6" s="1"/>
  <c r="D17" i="53"/>
  <c r="B36" i="72" s="1"/>
  <c r="D124" i="9"/>
  <c r="AC15" i="21"/>
  <c r="U12" i="39"/>
  <c r="AA27" i="40"/>
  <c r="F30" i="68"/>
  <c r="F52" i="80"/>
  <c r="D68" i="80"/>
  <c r="F54" i="80"/>
  <c r="F53" i="80"/>
  <c r="C77" i="80"/>
  <c r="C74" i="80" s="1"/>
  <c r="AZ14" i="3"/>
  <c r="E12" i="6"/>
  <c r="W12" i="34"/>
  <c r="AC12" i="34"/>
  <c r="E29" i="6"/>
  <c r="I7" i="34"/>
  <c r="E7" i="34"/>
  <c r="G7" i="34"/>
  <c r="AZ557" i="3"/>
  <c r="W34" i="35"/>
  <c r="AC34" i="35"/>
  <c r="BA551" i="3"/>
  <c r="AZ551" i="3" s="1"/>
  <c r="W31" i="34"/>
  <c r="AA13" i="35"/>
  <c r="AB23" i="34"/>
  <c r="AA39" i="37"/>
  <c r="AB12" i="33"/>
  <c r="S34" i="21"/>
  <c r="S27" i="35"/>
  <c r="W33" i="33"/>
  <c r="U35" i="33"/>
  <c r="S9" i="33"/>
  <c r="F26" i="33"/>
  <c r="W22" i="35"/>
  <c r="AC27" i="35"/>
  <c r="W28" i="36"/>
  <c r="W8" i="36"/>
  <c r="H12" i="34"/>
  <c r="F34" i="35"/>
  <c r="H34" i="35"/>
  <c r="J36" i="35"/>
  <c r="BL550" i="3"/>
  <c r="AZ550" i="3" s="1"/>
  <c r="AZ398" i="3"/>
  <c r="AZ400" i="3"/>
  <c r="AZ402" i="3"/>
  <c r="AZ406" i="3"/>
  <c r="AZ410" i="3"/>
  <c r="AZ413" i="3"/>
  <c r="AZ415" i="3"/>
  <c r="AZ420" i="3"/>
  <c r="AZ424" i="3"/>
  <c r="AZ489" i="3"/>
  <c r="AZ231" i="3"/>
  <c r="AZ247" i="3"/>
  <c r="AZ260" i="3"/>
  <c r="AZ264" i="3"/>
  <c r="AZ290" i="3"/>
  <c r="AZ293" i="3"/>
  <c r="D78" i="9"/>
  <c r="D93" i="80"/>
  <c r="D78" i="80"/>
  <c r="AZ426" i="3"/>
  <c r="AZ431" i="3"/>
  <c r="AZ436" i="3"/>
  <c r="AZ448" i="3"/>
  <c r="AZ452" i="3"/>
  <c r="AZ461" i="3"/>
  <c r="AZ463" i="3"/>
  <c r="AZ468" i="3"/>
  <c r="AZ470" i="3"/>
  <c r="AZ479" i="3"/>
  <c r="AZ485" i="3"/>
  <c r="AZ385" i="3"/>
  <c r="AZ210" i="3"/>
  <c r="AZ225" i="3"/>
  <c r="AZ239" i="3"/>
  <c r="AZ255" i="3"/>
  <c r="AZ274" i="3"/>
  <c r="AZ277" i="3"/>
  <c r="C51" i="71"/>
  <c r="D50" i="71"/>
  <c r="M47" i="80"/>
  <c r="M47" i="78"/>
  <c r="J51" i="77"/>
  <c r="E14" i="71"/>
  <c r="E13" i="71" s="1"/>
  <c r="V15" i="71"/>
  <c r="O54" i="71"/>
  <c r="C53" i="71"/>
  <c r="AA13" i="71"/>
  <c r="AA15" i="71"/>
  <c r="AA14" i="71"/>
  <c r="D26" i="71"/>
  <c r="C27" i="71"/>
  <c r="Y18" i="71"/>
  <c r="Z18" i="71" s="1"/>
  <c r="Y16" i="71"/>
  <c r="Z16" i="71" s="1"/>
  <c r="C19" i="71"/>
  <c r="X18" i="71"/>
  <c r="X19" i="71"/>
  <c r="X16" i="71"/>
  <c r="X12" i="71"/>
  <c r="E21" i="71"/>
  <c r="E22" i="71" s="1"/>
  <c r="E23" i="71" s="1"/>
  <c r="U23" i="71" s="1"/>
  <c r="AA20" i="71"/>
  <c r="AA19" i="71"/>
  <c r="B53" i="71"/>
  <c r="N54" i="71"/>
  <c r="AB13" i="71"/>
  <c r="F14" i="71"/>
  <c r="F13" i="71" s="1"/>
  <c r="AB14" i="71"/>
  <c r="Y12" i="71"/>
  <c r="Z12" i="71" s="1"/>
  <c r="Y13" i="71"/>
  <c r="Z13" i="71" s="1"/>
  <c r="Y14" i="71"/>
  <c r="Z14" i="71" s="1"/>
  <c r="AB11" i="71"/>
  <c r="P61" i="67"/>
  <c r="P74" i="67"/>
  <c r="AA11" i="71"/>
  <c r="Y9" i="71"/>
  <c r="Z9" i="71" s="1"/>
  <c r="C11" i="71"/>
  <c r="C10" i="71" s="1"/>
  <c r="Y11" i="71"/>
  <c r="Z11" i="71" s="1"/>
  <c r="E19" i="6"/>
  <c r="F20" i="6"/>
  <c r="BL15" i="3"/>
  <c r="BL5" i="3" s="1"/>
  <c r="AZ177" i="3"/>
  <c r="AZ22" i="3"/>
  <c r="AZ25" i="3"/>
  <c r="AZ36" i="3"/>
  <c r="AZ46" i="3"/>
  <c r="AZ57" i="3"/>
  <c r="AZ62" i="3"/>
  <c r="AZ81" i="3"/>
  <c r="AZ99" i="3"/>
  <c r="AZ103" i="3"/>
  <c r="AZ106" i="3"/>
  <c r="F3" i="35"/>
  <c r="W21" i="33"/>
  <c r="AC21" i="33"/>
  <c r="W21" i="37"/>
  <c r="AC21" i="37"/>
  <c r="AC18" i="36"/>
  <c r="W18" i="36"/>
  <c r="AB29" i="39"/>
  <c r="U29" i="39"/>
  <c r="B86" i="43"/>
  <c r="C25" i="40"/>
  <c r="AA21" i="34"/>
  <c r="S21" i="34"/>
  <c r="C39" i="71"/>
  <c r="D66" i="71"/>
  <c r="D54" i="71"/>
  <c r="AA12" i="71"/>
  <c r="AB12" i="71"/>
  <c r="D46" i="71"/>
  <c r="C47" i="71"/>
  <c r="D25" i="71"/>
  <c r="X14" i="71"/>
  <c r="AB16" i="71"/>
  <c r="Y17" i="71"/>
  <c r="Z17" i="71" s="1"/>
  <c r="AA17" i="71"/>
  <c r="AB21" i="71"/>
  <c r="AB20" i="71"/>
  <c r="C34" i="71"/>
  <c r="D34" i="71" s="1"/>
  <c r="D33" i="71"/>
  <c r="D41" i="71"/>
  <c r="C42" i="71"/>
  <c r="G18" i="3"/>
  <c r="G19" i="3"/>
  <c r="G20" i="3"/>
  <c r="G1" i="77"/>
  <c r="B75" i="43"/>
  <c r="B66" i="43"/>
  <c r="C29" i="39"/>
  <c r="AA18" i="35"/>
  <c r="S18" i="35"/>
  <c r="AA29" i="39"/>
  <c r="S29" i="39"/>
  <c r="C15" i="71"/>
  <c r="Y15" i="71"/>
  <c r="Z15" i="71" s="1"/>
  <c r="X13" i="71"/>
  <c r="X15" i="71"/>
  <c r="E17" i="71"/>
  <c r="E18" i="71" s="1"/>
  <c r="E19" i="71" s="1"/>
  <c r="U19" i="71" s="1"/>
  <c r="AA16" i="71"/>
  <c r="X17" i="71"/>
  <c r="AB17" i="71"/>
  <c r="AB15" i="71"/>
  <c r="Y22" i="71"/>
  <c r="Z22" i="71" s="1"/>
  <c r="Y20" i="71"/>
  <c r="Z20" i="71" s="1"/>
  <c r="Y25" i="71"/>
  <c r="Z25" i="71" s="1"/>
  <c r="Y24" i="71"/>
  <c r="Z24" i="71" s="1"/>
  <c r="AA26" i="71"/>
  <c r="AA5" i="71"/>
  <c r="AA22" i="71"/>
  <c r="AA23" i="71"/>
  <c r="AA25" i="71"/>
  <c r="B46" i="71"/>
  <c r="B47" i="71" s="1"/>
  <c r="S47" i="71" s="1"/>
  <c r="T55" i="71"/>
  <c r="D55" i="71"/>
  <c r="V55" i="71"/>
  <c r="F54" i="71"/>
  <c r="Q55" i="71"/>
  <c r="T63" i="71"/>
  <c r="D63" i="71"/>
  <c r="Y8" i="71"/>
  <c r="Z8" i="71" s="1"/>
  <c r="Y10" i="71"/>
  <c r="Z10" i="71" s="1"/>
  <c r="AB8" i="71"/>
  <c r="AA3" i="71"/>
  <c r="AB5" i="71"/>
  <c r="C5" i="68"/>
  <c r="Y23" i="71"/>
  <c r="Z23" i="71" s="1"/>
  <c r="X5" i="71"/>
  <c r="Y5" i="71"/>
  <c r="Y26" i="71"/>
  <c r="Z26" i="71" s="1"/>
  <c r="M56" i="80"/>
  <c r="J56" i="80"/>
  <c r="J57" i="80" s="1"/>
  <c r="J59" i="80" s="1"/>
  <c r="J61" i="80" s="1"/>
  <c r="N56" i="80"/>
  <c r="K56" i="80"/>
  <c r="N56" i="78"/>
  <c r="K56" i="78"/>
  <c r="M56" i="78"/>
  <c r="J56" i="78"/>
  <c r="J57" i="78" s="1"/>
  <c r="J59" i="78" s="1"/>
  <c r="J61" i="78" s="1"/>
  <c r="M56" i="9"/>
  <c r="F10" i="71"/>
  <c r="F9" i="71" s="1"/>
  <c r="AA10" i="71"/>
  <c r="X9" i="71"/>
  <c r="B11" i="71"/>
  <c r="B10" i="71" s="1"/>
  <c r="B9" i="71" s="1"/>
  <c r="B8" i="71" s="1"/>
  <c r="B7" i="71" s="1"/>
  <c r="X11" i="71"/>
  <c r="AB10" i="71"/>
  <c r="AA9" i="71"/>
  <c r="X8" i="71"/>
  <c r="AA8" i="71"/>
  <c r="U27" i="34"/>
  <c r="D22" i="67"/>
  <c r="S37" i="21"/>
  <c r="T13" i="1"/>
  <c r="AR11" i="1"/>
  <c r="AR10" i="1"/>
  <c r="D9" i="68"/>
  <c r="C9" i="68" s="1"/>
  <c r="T8" i="1"/>
  <c r="D19" i="12"/>
  <c r="C19" i="12" s="1"/>
  <c r="E13" i="6"/>
  <c r="E15" i="6"/>
  <c r="E57" i="40"/>
  <c r="E62" i="39"/>
  <c r="AR8" i="1"/>
  <c r="I4" i="6"/>
  <c r="G3" i="43" s="1"/>
  <c r="H22" i="43" s="1"/>
  <c r="E20" i="6"/>
  <c r="BA18" i="3"/>
  <c r="M18" i="80"/>
  <c r="B118" i="80" s="1"/>
  <c r="K6" i="1"/>
  <c r="G7" i="1"/>
  <c r="C51" i="10"/>
  <c r="A118" i="80"/>
  <c r="A2" i="80"/>
  <c r="A118" i="78"/>
  <c r="A2" i="78"/>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D68" i="78"/>
  <c r="F54" i="78"/>
  <c r="F53" i="78"/>
  <c r="F32" i="77"/>
  <c r="F60" i="77" s="1"/>
  <c r="F28" i="77"/>
  <c r="C28" i="77" s="1"/>
  <c r="M18" i="77"/>
  <c r="F52" i="78"/>
  <c r="C31" i="12"/>
  <c r="C77" i="78"/>
  <c r="C74" i="78" s="1"/>
  <c r="D78" i="78"/>
  <c r="D93" i="78"/>
  <c r="F54" i="9"/>
  <c r="M18" i="15"/>
  <c r="F32" i="15"/>
  <c r="F60" i="15" s="1"/>
  <c r="F30" i="69"/>
  <c r="C48" i="69" s="1"/>
  <c r="F32" i="67"/>
  <c r="F60" i="67" s="1"/>
  <c r="F52" i="9"/>
  <c r="F28" i="67"/>
  <c r="F30" i="11"/>
  <c r="F53" i="9"/>
  <c r="D23" i="67"/>
  <c r="K4" i="4"/>
  <c r="B46" i="48" s="1"/>
  <c r="B4" i="72" s="1"/>
  <c r="J42" i="21"/>
  <c r="F123" i="21"/>
  <c r="G123" i="21" s="1"/>
  <c r="H123" i="21" s="1"/>
  <c r="I123" i="21" s="1"/>
  <c r="J123" i="21" s="1"/>
  <c r="K123" i="21" s="1"/>
  <c r="L123" i="21" s="1"/>
  <c r="M123" i="21" s="1"/>
  <c r="H42" i="21"/>
  <c r="W43" i="21"/>
  <c r="U43" i="21"/>
  <c r="AA43" i="21"/>
  <c r="S40" i="21"/>
  <c r="AA26" i="21"/>
  <c r="S42" i="21"/>
  <c r="U26" i="21"/>
  <c r="W25" i="21"/>
  <c r="AA25" i="21"/>
  <c r="AA10" i="21"/>
  <c r="U10" i="21"/>
  <c r="U9" i="21"/>
  <c r="G5" i="3"/>
  <c r="B3" i="3" s="1"/>
  <c r="E237" i="3" s="1"/>
  <c r="E8" i="6"/>
  <c r="E56" i="39" s="1"/>
  <c r="E69" i="3"/>
  <c r="E343" i="3"/>
  <c r="E397" i="3"/>
  <c r="E368" i="3"/>
  <c r="O7" i="1"/>
  <c r="P7" i="1" s="1"/>
  <c r="E64" i="39"/>
  <c r="E59" i="40"/>
  <c r="E61" i="39"/>
  <c r="E56" i="40"/>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J22" i="43"/>
  <c r="AQ13" i="1"/>
  <c r="AZ18" i="3"/>
  <c r="BA5" i="3"/>
  <c r="O11" i="1"/>
  <c r="P11" i="1" s="1"/>
  <c r="O8" i="1"/>
  <c r="P8" i="1" s="1"/>
  <c r="O14" i="1"/>
  <c r="P14" i="1" s="1"/>
  <c r="K15" i="1"/>
  <c r="E30" i="6"/>
  <c r="O9" i="1"/>
  <c r="P9" i="1" s="1"/>
  <c r="H87" i="43"/>
  <c r="H86" i="43"/>
  <c r="H50" i="43"/>
  <c r="C65" i="40"/>
  <c r="D63" i="40"/>
  <c r="J1" i="73"/>
  <c r="AA7" i="33"/>
  <c r="R48" i="33" s="1"/>
  <c r="E48" i="33" s="1"/>
  <c r="C13" i="12"/>
  <c r="C30" i="69"/>
  <c r="C77" i="9"/>
  <c r="C74" i="9" s="1"/>
  <c r="C28" i="67"/>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C34" i="15"/>
  <c r="F70" i="67"/>
  <c r="F64" i="67"/>
  <c r="J57" i="15"/>
  <c r="J55" i="15" s="1"/>
  <c r="J58" i="15" s="1"/>
  <c r="Q50" i="15" s="1"/>
  <c r="I54" i="15"/>
  <c r="L56" i="15"/>
  <c r="F66" i="15"/>
  <c r="B10" i="70"/>
  <c r="F68" i="67"/>
  <c r="F66" i="67"/>
  <c r="L59" i="67"/>
  <c r="M59" i="67"/>
  <c r="N59" i="67"/>
  <c r="L58" i="67"/>
  <c r="F68" i="15"/>
  <c r="N59" i="15"/>
  <c r="L59" i="15"/>
  <c r="M59" i="15"/>
  <c r="L58" i="15"/>
  <c r="F65" i="15"/>
  <c r="Q71" i="67"/>
  <c r="B13" i="70"/>
  <c r="B8" i="70"/>
  <c r="C34" i="67"/>
  <c r="F65" i="67"/>
  <c r="Q71" i="15"/>
  <c r="F51" i="67"/>
  <c r="B11" i="70"/>
  <c r="I1" i="73"/>
  <c r="B39" i="1" s="1"/>
  <c r="C27" i="15"/>
  <c r="F51" i="15"/>
  <c r="F64" i="15"/>
  <c r="I54" i="67"/>
  <c r="J57" i="67"/>
  <c r="J55" i="67" s="1"/>
  <c r="J58" i="67" s="1"/>
  <c r="Q50" i="67" s="1"/>
  <c r="L56" i="67"/>
  <c r="C27" i="67"/>
  <c r="B12" i="70"/>
  <c r="B9" i="70"/>
  <c r="F43" i="67"/>
  <c r="D3" i="73"/>
  <c r="M29" i="67"/>
  <c r="D4" i="73"/>
  <c r="D7" i="73"/>
  <c r="AE6" i="1"/>
  <c r="D6" i="73"/>
  <c r="F7" i="67"/>
  <c r="D5" i="73"/>
  <c r="D126" i="9" l="1"/>
  <c r="D19" i="53"/>
  <c r="F53" i="71"/>
  <c r="Q54" i="71"/>
  <c r="C14" i="71"/>
  <c r="T15" i="71"/>
  <c r="D15" i="71"/>
  <c r="U15" i="71" s="1"/>
  <c r="D42" i="71"/>
  <c r="C43" i="71"/>
  <c r="T27" i="71"/>
  <c r="D27" i="71"/>
  <c r="M19" i="43" s="1"/>
  <c r="AC36" i="35"/>
  <c r="W36" i="35"/>
  <c r="AA34" i="35"/>
  <c r="S34" i="35"/>
  <c r="S26" i="33"/>
  <c r="AA26" i="33"/>
  <c r="AZ15" i="3"/>
  <c r="AZ5" i="3" s="1"/>
  <c r="H14" i="74"/>
  <c r="B7" i="74" s="1"/>
  <c r="D10" i="52"/>
  <c r="D125" i="9"/>
  <c r="D11" i="52" s="1"/>
  <c r="F7" i="36"/>
  <c r="J7" i="36"/>
  <c r="H7" i="35"/>
  <c r="J7" i="35"/>
  <c r="H7" i="37"/>
  <c r="F7" i="37"/>
  <c r="T47" i="71"/>
  <c r="D47" i="71"/>
  <c r="T39" i="71"/>
  <c r="D39" i="71"/>
  <c r="N52" i="71"/>
  <c r="N53" i="71"/>
  <c r="T19" i="71"/>
  <c r="D19" i="71"/>
  <c r="D53" i="71"/>
  <c r="O53" i="71"/>
  <c r="O52" i="71"/>
  <c r="T51" i="71"/>
  <c r="D51" i="71"/>
  <c r="U34" i="35"/>
  <c r="AB34" i="35"/>
  <c r="U12" i="34"/>
  <c r="AB12" i="34"/>
  <c r="E27" i="6"/>
  <c r="K21" i="6" s="1"/>
  <c r="M21" i="6" s="1"/>
  <c r="I21" i="6" s="1"/>
  <c r="S21" i="6" s="1"/>
  <c r="F27" i="6"/>
  <c r="F31" i="6" s="1"/>
  <c r="E196" i="3"/>
  <c r="E549" i="3"/>
  <c r="E555" i="3"/>
  <c r="E461" i="3"/>
  <c r="E101" i="43"/>
  <c r="E102" i="43" s="1"/>
  <c r="I6" i="3"/>
  <c r="E337" i="3"/>
  <c r="E508" i="3"/>
  <c r="E175" i="3"/>
  <c r="E445" i="3"/>
  <c r="E58" i="40"/>
  <c r="E63" i="39"/>
  <c r="E156" i="3"/>
  <c r="E244" i="3"/>
  <c r="E453" i="3"/>
  <c r="E536" i="3"/>
  <c r="E568" i="3"/>
  <c r="E143" i="3"/>
  <c r="E410" i="3"/>
  <c r="E388" i="3"/>
  <c r="E305" i="3"/>
  <c r="E530" i="3"/>
  <c r="E165" i="3"/>
  <c r="E539" i="3"/>
  <c r="E563" i="3"/>
  <c r="S4" i="43"/>
  <c r="S5" i="43"/>
  <c r="E60" i="40"/>
  <c r="E65" i="39"/>
  <c r="E227" i="3"/>
  <c r="E567" i="3"/>
  <c r="E535" i="3"/>
  <c r="E172" i="3"/>
  <c r="E278" i="3"/>
  <c r="AJ11" i="43"/>
  <c r="AJ13" i="43" s="1"/>
  <c r="H101" i="43"/>
  <c r="H102" i="43" s="1"/>
  <c r="M101" i="43"/>
  <c r="M107" i="43" s="1"/>
  <c r="E16" i="6"/>
  <c r="E106" i="43"/>
  <c r="E51" i="40"/>
  <c r="E236" i="3"/>
  <c r="E136" i="3"/>
  <c r="E262" i="3"/>
  <c r="E296" i="3"/>
  <c r="E306" i="3"/>
  <c r="E434" i="3"/>
  <c r="AK6" i="3"/>
  <c r="E16" i="3"/>
  <c r="E511" i="3"/>
  <c r="E314" i="3"/>
  <c r="E97" i="3"/>
  <c r="E285" i="3"/>
  <c r="E359" i="3"/>
  <c r="E574" i="3"/>
  <c r="O6" i="3"/>
  <c r="E328" i="3"/>
  <c r="E426" i="3"/>
  <c r="E153" i="3"/>
  <c r="E501" i="3"/>
  <c r="E319" i="3"/>
  <c r="E53" i="3"/>
  <c r="E205" i="3"/>
  <c r="E352" i="3"/>
  <c r="E510" i="3"/>
  <c r="E545" i="3"/>
  <c r="E329" i="3"/>
  <c r="E550" i="3"/>
  <c r="E260" i="3"/>
  <c r="E395" i="3"/>
  <c r="E415" i="3"/>
  <c r="E114" i="3"/>
  <c r="M18" i="78"/>
  <c r="B118" i="78" s="1"/>
  <c r="E32" i="6"/>
  <c r="L20" i="6" s="1"/>
  <c r="L27" i="6" s="1"/>
  <c r="K7" i="1"/>
  <c r="S6" i="43"/>
  <c r="S7" i="43"/>
  <c r="F50" i="67"/>
  <c r="C49" i="67" s="1"/>
  <c r="C6" i="67"/>
  <c r="M7" i="67"/>
  <c r="F71" i="67"/>
  <c r="E31" i="6"/>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293" i="3"/>
  <c r="E124" i="3"/>
  <c r="E246" i="3"/>
  <c r="E280" i="3"/>
  <c r="E336" i="3"/>
  <c r="E399" i="3"/>
  <c r="X6" i="3"/>
  <c r="AA6" i="3"/>
  <c r="E583" i="3"/>
  <c r="E347" i="3"/>
  <c r="E302" i="3"/>
  <c r="E503" i="3"/>
  <c r="E17" i="3"/>
  <c r="E361" i="3"/>
  <c r="E213" i="3"/>
  <c r="E183" i="3"/>
  <c r="E565" i="3"/>
  <c r="E528" i="3"/>
  <c r="E304" i="3"/>
  <c r="E261" i="3"/>
  <c r="M6" i="1"/>
  <c r="Q52" i="67"/>
  <c r="S27" i="34"/>
  <c r="AC27" i="34"/>
  <c r="W27" i="34"/>
  <c r="H62" i="43"/>
  <c r="H65" i="43"/>
  <c r="H63" i="43"/>
  <c r="H66" i="43"/>
  <c r="H64" i="43"/>
  <c r="H61" i="43"/>
  <c r="H59" i="43"/>
  <c r="H60" i="43"/>
  <c r="H67" i="43"/>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6" i="43"/>
  <c r="M105" i="43"/>
  <c r="K19" i="6"/>
  <c r="S6" i="1" s="1"/>
  <c r="E6" i="70" s="1"/>
  <c r="E105" i="43"/>
  <c r="E107" i="43"/>
  <c r="H6" i="3"/>
  <c r="K23" i="6"/>
  <c r="M23" i="6" s="1"/>
  <c r="I23" i="6" s="1"/>
  <c r="S23" i="6" s="1"/>
  <c r="K22" i="6"/>
  <c r="M22" i="6" s="1"/>
  <c r="I22" i="6" s="1"/>
  <c r="S22" i="6" s="1"/>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K26" i="6"/>
  <c r="M26" i="6" s="1"/>
  <c r="I26" i="6" s="1"/>
  <c r="S26" i="6" s="1"/>
  <c r="K25" i="6"/>
  <c r="M25" i="6" s="1"/>
  <c r="I25" i="6" s="1"/>
  <c r="S25" i="6" s="1"/>
  <c r="AY6" i="3"/>
  <c r="E3" i="6"/>
  <c r="K1" i="73"/>
  <c r="E20" i="43"/>
  <c r="P28" i="43" s="1"/>
  <c r="D65" i="40"/>
  <c r="E63" i="40"/>
  <c r="G17" i="43"/>
  <c r="C16" i="43" s="1"/>
  <c r="D5" i="43" s="1"/>
  <c r="E58" i="21"/>
  <c r="F58" i="21" s="1"/>
  <c r="G58" i="21" s="1"/>
  <c r="H58" i="21" s="1"/>
  <c r="I58" i="21" s="1"/>
  <c r="J58" i="21" s="1"/>
  <c r="K58" i="21" s="1"/>
  <c r="L58" i="21" s="1"/>
  <c r="M58" i="21" s="1"/>
  <c r="N58" i="21" s="1"/>
  <c r="O58" i="21" s="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Q60" i="67"/>
  <c r="Q60" i="15"/>
  <c r="Q73" i="15"/>
  <c r="Q74" i="15"/>
  <c r="Q61" i="15"/>
  <c r="Q61" i="67"/>
  <c r="Q74" i="67"/>
  <c r="AE7" i="1"/>
  <c r="F9" i="77"/>
  <c r="L48" i="77"/>
  <c r="F6" i="77"/>
  <c r="F40" i="77"/>
  <c r="M8" i="77"/>
  <c r="F16" i="77"/>
  <c r="F36" i="77"/>
  <c r="M28" i="77"/>
  <c r="M17" i="77"/>
  <c r="F37" i="77"/>
  <c r="F31" i="77"/>
  <c r="F13" i="77"/>
  <c r="F59" i="77"/>
  <c r="F7" i="15"/>
  <c r="M29" i="77"/>
  <c r="F43" i="15"/>
  <c r="C17" i="67"/>
  <c r="F7" i="77"/>
  <c r="F41" i="77"/>
  <c r="M29" i="15"/>
  <c r="F41" i="67"/>
  <c r="F59" i="67"/>
  <c r="M17" i="67"/>
  <c r="C14" i="67"/>
  <c r="C16" i="67"/>
  <c r="F31" i="67"/>
  <c r="F41" i="15"/>
  <c r="F43" i="77"/>
  <c r="G1" i="73"/>
  <c r="M27" i="77"/>
  <c r="M6" i="77"/>
  <c r="M26" i="77"/>
  <c r="F26" i="77"/>
  <c r="J15" i="77"/>
  <c r="F38" i="77"/>
  <c r="F42" i="77"/>
  <c r="L47" i="77"/>
  <c r="M9" i="77"/>
  <c r="M24" i="77"/>
  <c r="F8" i="77"/>
  <c r="M23" i="77"/>
  <c r="C76" i="77"/>
  <c r="M22" i="77"/>
  <c r="D20" i="53" l="1"/>
  <c r="B40" i="72" s="1"/>
  <c r="B38" i="72"/>
  <c r="I14" i="74"/>
  <c r="B8" i="74" s="1"/>
  <c r="D12" i="52"/>
  <c r="D127" i="9"/>
  <c r="D13" i="52" s="1"/>
  <c r="Q71" i="77"/>
  <c r="F51" i="77"/>
  <c r="L59" i="77"/>
  <c r="M59" i="77"/>
  <c r="L58" i="77"/>
  <c r="N59" i="77"/>
  <c r="F70" i="77"/>
  <c r="F66" i="77"/>
  <c r="C27" i="77"/>
  <c r="F65" i="77"/>
  <c r="F64" i="77"/>
  <c r="F68" i="77"/>
  <c r="L56" i="77"/>
  <c r="J57" i="77"/>
  <c r="J55" i="77" s="1"/>
  <c r="J58" i="77" s="1"/>
  <c r="Q50" i="77" s="1"/>
  <c r="J53" i="77"/>
  <c r="T43" i="71"/>
  <c r="D43" i="71"/>
  <c r="H7" i="21"/>
  <c r="D14" i="71"/>
  <c r="C13" i="71"/>
  <c r="D13" i="71" s="1"/>
  <c r="Q53" i="71"/>
  <c r="Q52" i="71"/>
  <c r="M19" i="6"/>
  <c r="K20" i="6"/>
  <c r="K24" i="6"/>
  <c r="M24" i="6" s="1"/>
  <c r="I24" i="6" s="1"/>
  <c r="S24" i="6" s="1"/>
  <c r="E109" i="43"/>
  <c r="E104" i="43"/>
  <c r="M104" i="43"/>
  <c r="F69" i="15"/>
  <c r="F71" i="15"/>
  <c r="M7" i="15"/>
  <c r="C6" i="15"/>
  <c r="F50" i="15"/>
  <c r="Q16" i="1"/>
  <c r="F27" i="68" s="1"/>
  <c r="H105" i="43"/>
  <c r="H103" i="43"/>
  <c r="E66" i="39"/>
  <c r="AC6" i="3"/>
  <c r="E6" i="3" s="1"/>
  <c r="H16" i="1"/>
  <c r="M109" i="43"/>
  <c r="M102" i="43"/>
  <c r="F28" i="12"/>
  <c r="C29" i="12" s="1"/>
  <c r="D28" i="12" s="1"/>
  <c r="G16" i="1"/>
  <c r="F71" i="77"/>
  <c r="F50" i="77"/>
  <c r="M7" i="77"/>
  <c r="J6" i="77" s="1"/>
  <c r="J5" i="77" s="1"/>
  <c r="J24" i="77" s="1"/>
  <c r="C6" i="77"/>
  <c r="AP7" i="1"/>
  <c r="C36" i="69" s="1"/>
  <c r="C34" i="69"/>
  <c r="M7" i="1"/>
  <c r="M16" i="1" s="1"/>
  <c r="K16" i="1"/>
  <c r="C18" i="67"/>
  <c r="C15" i="67"/>
  <c r="O6" i="1"/>
  <c r="J6" i="67"/>
  <c r="J5" i="67" s="1"/>
  <c r="F69" i="77"/>
  <c r="F69" i="67"/>
  <c r="C5" i="43"/>
  <c r="C53" i="77"/>
  <c r="C10" i="77"/>
  <c r="AQ6" i="1"/>
  <c r="T6" i="1"/>
  <c r="AR6" i="1"/>
  <c r="S7" i="1"/>
  <c r="O28" i="43"/>
  <c r="C115" i="43"/>
  <c r="D113" i="43"/>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7" i="71"/>
  <c r="C53" i="67"/>
  <c r="C48" i="67" s="1"/>
  <c r="C10" i="67"/>
  <c r="C5" i="67" s="1"/>
  <c r="C53" i="15"/>
  <c r="C10" i="15"/>
  <c r="C16" i="77"/>
  <c r="F59" i="15"/>
  <c r="C17" i="15"/>
  <c r="C17" i="77"/>
  <c r="F31" i="15"/>
  <c r="C16" i="15"/>
  <c r="C14" i="77"/>
  <c r="M17" i="15"/>
  <c r="C49" i="77" l="1"/>
  <c r="D6" i="71"/>
  <c r="F1" i="77"/>
  <c r="Q52" i="77"/>
  <c r="Q73" i="77"/>
  <c r="Q60" i="77"/>
  <c r="Q61" i="77"/>
  <c r="Q74" i="77"/>
  <c r="C19" i="67"/>
  <c r="C20" i="67" s="1"/>
  <c r="C26" i="67" s="1"/>
  <c r="K27" i="6"/>
  <c r="C48" i="77"/>
  <c r="C66" i="77" s="1"/>
  <c r="C49" i="15"/>
  <c r="C48" i="15" s="1"/>
  <c r="C66" i="15" s="1"/>
  <c r="J6" i="15"/>
  <c r="J10" i="15" s="1"/>
  <c r="J5" i="15" s="1"/>
  <c r="J18" i="15" s="1"/>
  <c r="C5" i="15"/>
  <c r="C38" i="15" s="1"/>
  <c r="M20" i="6"/>
  <c r="S16" i="1"/>
  <c r="F27" i="69"/>
  <c r="C47" i="69" s="1"/>
  <c r="D45" i="69" s="1"/>
  <c r="F27" i="11"/>
  <c r="C28" i="11" s="1"/>
  <c r="C27" i="11" s="1"/>
  <c r="C29" i="68"/>
  <c r="D27" i="68" s="1"/>
  <c r="C47" i="68"/>
  <c r="D45" i="68" s="1"/>
  <c r="F10" i="39"/>
  <c r="J10" i="39"/>
  <c r="H10" i="39"/>
  <c r="H10" i="40"/>
  <c r="J10" i="40"/>
  <c r="F10" i="40"/>
  <c r="C5" i="77"/>
  <c r="C31" i="77" s="1"/>
  <c r="C47" i="11"/>
  <c r="D45" i="11" s="1"/>
  <c r="J26" i="77"/>
  <c r="J29" i="77" s="1"/>
  <c r="J18" i="77"/>
  <c r="J17" i="77"/>
  <c r="C38" i="69"/>
  <c r="C35" i="69"/>
  <c r="C36" i="11"/>
  <c r="C36" i="68"/>
  <c r="C15" i="77"/>
  <c r="C18" i="77"/>
  <c r="C19" i="77"/>
  <c r="C20" i="77" s="1"/>
  <c r="C26" i="77" s="1"/>
  <c r="J24" i="67"/>
  <c r="J18" i="67"/>
  <c r="J26" i="67"/>
  <c r="J29" i="67" s="1"/>
  <c r="E7" i="70"/>
  <c r="E2" i="70" s="1"/>
  <c r="P6" i="1"/>
  <c r="P16" i="1" s="1"/>
  <c r="C11" i="12" s="1"/>
  <c r="O16" i="1"/>
  <c r="L18" i="9"/>
  <c r="L18" i="78"/>
  <c r="C34" i="68"/>
  <c r="C34" i="11"/>
  <c r="N16" i="1"/>
  <c r="L16" i="1"/>
  <c r="G20" i="43"/>
  <c r="E41" i="43" s="1"/>
  <c r="C41" i="43" s="1"/>
  <c r="F22" i="68"/>
  <c r="C26" i="68" s="1"/>
  <c r="D22" i="68" s="1"/>
  <c r="F24" i="77"/>
  <c r="S7" i="21"/>
  <c r="F24" i="67"/>
  <c r="C24" i="67" s="1"/>
  <c r="T7" i="1"/>
  <c r="AR7" i="1"/>
  <c r="AQ7" i="1"/>
  <c r="C7" i="74"/>
  <c r="C8" i="74"/>
  <c r="D10" i="68"/>
  <c r="D20" i="12"/>
  <c r="C20" i="12" s="1"/>
  <c r="C18" i="12" s="1"/>
  <c r="D10" i="11"/>
  <c r="C10" i="11" s="1"/>
  <c r="D10" i="69"/>
  <c r="D17" i="12"/>
  <c r="C17" i="12" s="1"/>
  <c r="C14" i="12"/>
  <c r="D25" i="6"/>
  <c r="D15" i="6"/>
  <c r="D22" i="6"/>
  <c r="D21" i="6"/>
  <c r="D24" i="6"/>
  <c r="D20" i="6"/>
  <c r="D5" i="6"/>
  <c r="D12" i="6"/>
  <c r="D11" i="6"/>
  <c r="D13" i="6"/>
  <c r="D28" i="6"/>
  <c r="E61" i="40"/>
  <c r="D19" i="6"/>
  <c r="M19" i="9" s="1"/>
  <c r="C118" i="9" s="1"/>
  <c r="C14" i="74" s="1"/>
  <c r="D26" i="6"/>
  <c r="C18" i="4"/>
  <c r="D8" i="6"/>
  <c r="D23" i="6"/>
  <c r="D14" i="6"/>
  <c r="D6" i="6"/>
  <c r="D9" i="6"/>
  <c r="D10" i="6"/>
  <c r="D29" i="6"/>
  <c r="H24" i="6"/>
  <c r="R24" i="6" s="1"/>
  <c r="H22" i="6"/>
  <c r="H26" i="6"/>
  <c r="H25" i="6"/>
  <c r="R25" i="6" s="1"/>
  <c r="H21" i="6"/>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0" i="15"/>
  <c r="C60" i="67"/>
  <c r="C66" i="67"/>
  <c r="C38" i="67"/>
  <c r="C32" i="67"/>
  <c r="C14" i="15"/>
  <c r="F35" i="77"/>
  <c r="M21" i="77"/>
  <c r="R21" i="6" l="1"/>
  <c r="C38" i="77"/>
  <c r="C59" i="77"/>
  <c r="C29" i="11"/>
  <c r="D27" i="11" s="1"/>
  <c r="J24" i="15"/>
  <c r="J26" i="15"/>
  <c r="J29" i="15" s="1"/>
  <c r="C29" i="69"/>
  <c r="D27" i="69" s="1"/>
  <c r="I20" i="6"/>
  <c r="M27" i="6"/>
  <c r="C15" i="15"/>
  <c r="C18" i="15"/>
  <c r="T16" i="1"/>
  <c r="D30" i="6"/>
  <c r="AA10" i="40"/>
  <c r="S10" i="40"/>
  <c r="AB10" i="40"/>
  <c r="U10" i="40"/>
  <c r="AC10" i="39"/>
  <c r="W10" i="39"/>
  <c r="R26" i="6"/>
  <c r="AC10" i="40"/>
  <c r="W10" i="40"/>
  <c r="AB10" i="39"/>
  <c r="U10" i="39"/>
  <c r="S10" i="39"/>
  <c r="AA10" i="39"/>
  <c r="R23" i="6"/>
  <c r="L19" i="9"/>
  <c r="C38" i="11"/>
  <c r="C35" i="11"/>
  <c r="C12" i="12"/>
  <c r="C15" i="12"/>
  <c r="L19" i="80"/>
  <c r="M19" i="80"/>
  <c r="C118" i="80" s="1"/>
  <c r="M19" i="78"/>
  <c r="C118" i="78" s="1"/>
  <c r="B2" i="74" s="1"/>
  <c r="L19" i="78"/>
  <c r="F50" i="68"/>
  <c r="F50" i="69"/>
  <c r="F50" i="11"/>
  <c r="C35" i="68"/>
  <c r="C38" i="68"/>
  <c r="C23" i="68"/>
  <c r="AA7" i="34"/>
  <c r="R49" i="34" s="1"/>
  <c r="C20" i="43"/>
  <c r="T14" i="43" s="1"/>
  <c r="V14" i="43" s="1"/>
  <c r="J20" i="77"/>
  <c r="F63" i="77"/>
  <c r="C44" i="68"/>
  <c r="D41" i="68" s="1"/>
  <c r="C23" i="67"/>
  <c r="C29" i="67" s="1"/>
  <c r="C57" i="67" s="1"/>
  <c r="C24" i="77"/>
  <c r="C23" i="77"/>
  <c r="D16" i="6"/>
  <c r="D27" i="6"/>
  <c r="C23" i="11"/>
  <c r="R22" i="6"/>
  <c r="C4" i="52"/>
  <c r="B45" i="72" s="1"/>
  <c r="A10" i="51"/>
  <c r="B9" i="72" s="1"/>
  <c r="A7" i="51"/>
  <c r="B7" i="72" s="1"/>
  <c r="D31" i="6"/>
  <c r="C10" i="69"/>
  <c r="C8" i="69" s="1"/>
  <c r="C5" i="69" s="1"/>
  <c r="C23"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9" i="43"/>
  <c r="E39" i="43" s="1"/>
  <c r="C38" i="43"/>
  <c r="G38" i="43" s="1"/>
  <c r="I38" i="43" s="1"/>
  <c r="C33" i="15"/>
  <c r="C31" i="15" s="1"/>
  <c r="C33" i="67"/>
  <c r="C31" i="67" s="1"/>
  <c r="C19" i="78"/>
  <c r="C19" i="15" l="1"/>
  <c r="C20" i="15" s="1"/>
  <c r="C26" i="15" s="1"/>
  <c r="H20" i="6"/>
  <c r="S20" i="6"/>
  <c r="S27" i="6" s="1"/>
  <c r="I27" i="6"/>
  <c r="C16" i="12"/>
  <c r="C21" i="12" s="1"/>
  <c r="C22" i="12" s="1"/>
  <c r="C27" i="12" s="1"/>
  <c r="C25" i="12" s="1"/>
  <c r="C33" i="11"/>
  <c r="C21" i="78"/>
  <c r="C102" i="78"/>
  <c r="D7" i="74"/>
  <c r="D8" i="74"/>
  <c r="B3" i="21"/>
  <c r="T5" i="43"/>
  <c r="V5" i="43" s="1"/>
  <c r="T6" i="43"/>
  <c r="V6" i="43" s="1"/>
  <c r="Q49" i="67"/>
  <c r="C34" i="43"/>
  <c r="E34" i="43" s="1"/>
  <c r="T16" i="43"/>
  <c r="V16" i="43" s="1"/>
  <c r="T7" i="43"/>
  <c r="V7" i="43" s="1"/>
  <c r="T8" i="43"/>
  <c r="V8" i="43" s="1"/>
  <c r="R50" i="34"/>
  <c r="C50" i="34" s="1"/>
  <c r="B2" i="34" s="1"/>
  <c r="J59" i="67"/>
  <c r="J60" i="67" s="1"/>
  <c r="Q48" i="67" s="1"/>
  <c r="J14" i="67"/>
  <c r="J13" i="67" s="1"/>
  <c r="J23" i="67" s="1"/>
  <c r="T10" i="43"/>
  <c r="V10" i="43" s="1"/>
  <c r="C33" i="43"/>
  <c r="T13" i="43"/>
  <c r="V13" i="43" s="1"/>
  <c r="T2" i="43"/>
  <c r="V2" i="43" s="1"/>
  <c r="E49" i="34"/>
  <c r="I54" i="34" s="1"/>
  <c r="J54" i="34" s="1"/>
  <c r="E38" i="43"/>
  <c r="C13" i="67"/>
  <c r="C75"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C29" i="77"/>
  <c r="R6" i="1"/>
  <c r="C22" i="11"/>
  <c r="C31" i="11" s="1"/>
  <c r="C19" i="68"/>
  <c r="D37" i="68"/>
  <c r="C37" i="68" s="1"/>
  <c r="C33" i="68" s="1"/>
  <c r="C19" i="69"/>
  <c r="C24" i="69" s="1"/>
  <c r="D37" i="69"/>
  <c r="C37" i="69" s="1"/>
  <c r="C33" i="69" s="1"/>
  <c r="I6" i="6"/>
  <c r="I5" i="6"/>
  <c r="H65" i="40"/>
  <c r="I63" i="40"/>
  <c r="I68" i="39"/>
  <c r="H70" i="39"/>
  <c r="G53" i="34"/>
  <c r="H53" i="34" s="1"/>
  <c r="G54" i="34"/>
  <c r="H54" i="34" s="1"/>
  <c r="G39" i="43"/>
  <c r="I39" i="43" s="1"/>
  <c r="C61" i="67"/>
  <c r="C59" i="67" s="1"/>
  <c r="C64" i="67"/>
  <c r="C61" i="15"/>
  <c r="C59" i="15" s="1"/>
  <c r="F35" i="67"/>
  <c r="M21" i="67"/>
  <c r="C19" i="80"/>
  <c r="C20" i="78"/>
  <c r="C49" i="34" l="1"/>
  <c r="G34" i="43"/>
  <c r="I34" i="43" s="1"/>
  <c r="C23" i="15"/>
  <c r="C29" i="15" s="1"/>
  <c r="R20" i="6"/>
  <c r="H27" i="6"/>
  <c r="J22" i="67"/>
  <c r="J16" i="67" s="1"/>
  <c r="J25" i="67" s="1"/>
  <c r="C56" i="67"/>
  <c r="C65" i="67" s="1"/>
  <c r="C58" i="67" s="1"/>
  <c r="C67" i="67" s="1"/>
  <c r="C68" i="67" s="1"/>
  <c r="C37" i="67"/>
  <c r="C30" i="67" s="1"/>
  <c r="C39" i="67" s="1"/>
  <c r="C40" i="67" s="1"/>
  <c r="Q70" i="67"/>
  <c r="G37" i="43"/>
  <c r="I37" i="43" s="1"/>
  <c r="G35" i="43"/>
  <c r="I35" i="43" s="1"/>
  <c r="C39" i="11"/>
  <c r="C42" i="11"/>
  <c r="C21" i="80"/>
  <c r="C102" i="80"/>
  <c r="C103" i="78"/>
  <c r="B3" i="34"/>
  <c r="J20" i="67"/>
  <c r="F63" i="67"/>
  <c r="C62" i="67" s="1"/>
  <c r="E54" i="34"/>
  <c r="F54" i="34" s="1"/>
  <c r="E33" i="43"/>
  <c r="G33" i="43"/>
  <c r="I33" i="43" s="1"/>
  <c r="C27" i="43" s="1"/>
  <c r="E53" i="34"/>
  <c r="F53" i="34" s="1"/>
  <c r="E29" i="43"/>
  <c r="G36" i="43"/>
  <c r="I36" i="43" s="1"/>
  <c r="C57" i="77"/>
  <c r="C64" i="77" s="1"/>
  <c r="Q49" i="77"/>
  <c r="C36" i="77"/>
  <c r="J19" i="77"/>
  <c r="J14" i="77"/>
  <c r="C13" i="77"/>
  <c r="J59" i="77"/>
  <c r="J60" i="77" s="1"/>
  <c r="C20" i="69"/>
  <c r="C25" i="69" s="1"/>
  <c r="C22" i="69" s="1"/>
  <c r="C30" i="12"/>
  <c r="C28" i="12" s="1"/>
  <c r="C32" i="12" s="1"/>
  <c r="B2" i="12" s="1"/>
  <c r="B3" i="12" s="1"/>
  <c r="C20" i="68"/>
  <c r="C24" i="68"/>
  <c r="C39" i="69"/>
  <c r="C42" i="69"/>
  <c r="C39" i="68"/>
  <c r="C43" i="68" s="1"/>
  <c r="C42" i="68"/>
  <c r="I65" i="40"/>
  <c r="J63" i="40"/>
  <c r="J68" i="39"/>
  <c r="I70" i="39"/>
  <c r="L51" i="67"/>
  <c r="C20" i="80"/>
  <c r="J19" i="15" l="1"/>
  <c r="J17" i="15" s="1"/>
  <c r="C36" i="15"/>
  <c r="C13" i="15"/>
  <c r="J14" i="15"/>
  <c r="J59" i="15"/>
  <c r="J60" i="15" s="1"/>
  <c r="Q49" i="15"/>
  <c r="C57" i="15"/>
  <c r="C64" i="15" s="1"/>
  <c r="R7" i="1"/>
  <c r="R27" i="6"/>
  <c r="C46" i="11"/>
  <c r="C45" i="11" s="1"/>
  <c r="C43" i="11"/>
  <c r="C41" i="11" s="1"/>
  <c r="C103" i="80"/>
  <c r="C26" i="43"/>
  <c r="B2" i="43" s="1"/>
  <c r="Q69" i="67"/>
  <c r="Q68" i="67" s="1"/>
  <c r="C80" i="67"/>
  <c r="C79" i="67" s="1"/>
  <c r="C41" i="68"/>
  <c r="Q48" i="77"/>
  <c r="L46" i="77"/>
  <c r="J22" i="77"/>
  <c r="J13" i="77"/>
  <c r="J23" i="77" s="1"/>
  <c r="C75" i="77"/>
  <c r="Q70" i="77"/>
  <c r="C56" i="77"/>
  <c r="C65" i="77" s="1"/>
  <c r="C58" i="77" s="1"/>
  <c r="C67" i="77" s="1"/>
  <c r="C68" i="77" s="1"/>
  <c r="C37" i="77"/>
  <c r="C30" i="77" s="1"/>
  <c r="C39" i="77" s="1"/>
  <c r="C28" i="69"/>
  <c r="C27" i="69" s="1"/>
  <c r="C31" i="69" s="1"/>
  <c r="C46" i="69"/>
  <c r="C45" i="69" s="1"/>
  <c r="C43" i="69"/>
  <c r="C41" i="69" s="1"/>
  <c r="C46" i="68"/>
  <c r="C45" i="68" s="1"/>
  <c r="C28" i="68"/>
  <c r="C27" i="68" s="1"/>
  <c r="C25" i="68"/>
  <c r="C22" i="68" s="1"/>
  <c r="K63" i="40"/>
  <c r="J65" i="40"/>
  <c r="K68" i="39"/>
  <c r="J70" i="39"/>
  <c r="Q67" i="67"/>
  <c r="L57" i="67"/>
  <c r="L60" i="67" s="1"/>
  <c r="L46" i="67" s="1"/>
  <c r="D2" i="67" s="1"/>
  <c r="C71" i="67"/>
  <c r="C45" i="67"/>
  <c r="C46" i="67" s="1"/>
  <c r="Q56" i="67"/>
  <c r="Q47" i="67"/>
  <c r="Q53" i="67" s="1"/>
  <c r="Q65" i="67"/>
  <c r="C43" i="67"/>
  <c r="C83" i="67"/>
  <c r="C82" i="67" s="1"/>
  <c r="F35" i="15"/>
  <c r="M21" i="15"/>
  <c r="E6" i="76"/>
  <c r="B6" i="76"/>
  <c r="J13" i="15" l="1"/>
  <c r="J23" i="15" s="1"/>
  <c r="J22" i="15"/>
  <c r="Q48" i="15"/>
  <c r="L46" i="15"/>
  <c r="C56" i="15"/>
  <c r="C65" i="15" s="1"/>
  <c r="C58" i="15" s="1"/>
  <c r="C67" i="15" s="1"/>
  <c r="C68" i="15" s="1"/>
  <c r="C37" i="15"/>
  <c r="C30" i="15" s="1"/>
  <c r="C39" i="15" s="1"/>
  <c r="Q70" i="15"/>
  <c r="C75" i="15"/>
  <c r="J20" i="15"/>
  <c r="F63" i="15"/>
  <c r="C62" i="15" s="1"/>
  <c r="R16" i="1"/>
  <c r="C49" i="11"/>
  <c r="C51" i="11" s="1"/>
  <c r="C52" i="11" s="1"/>
  <c r="B2" i="11" s="1"/>
  <c r="B3" i="11" s="1"/>
  <c r="E2" i="76"/>
  <c r="B2" i="76"/>
  <c r="B3" i="43"/>
  <c r="C49" i="68"/>
  <c r="C51" i="68" s="1"/>
  <c r="C49" i="69"/>
  <c r="C51" i="69" s="1"/>
  <c r="C52" i="69" s="1"/>
  <c r="B2" i="69" s="1"/>
  <c r="B3" i="69" s="1"/>
  <c r="C31" i="68"/>
  <c r="J16" i="77"/>
  <c r="J25" i="77" s="1"/>
  <c r="C71" i="77"/>
  <c r="Q69" i="77"/>
  <c r="Q68" i="77" s="1"/>
  <c r="C40" i="77"/>
  <c r="C80" i="77"/>
  <c r="C79" i="77" s="1"/>
  <c r="L63" i="40"/>
  <c r="K65" i="40"/>
  <c r="L68" i="39"/>
  <c r="K70" i="39"/>
  <c r="Q66" i="67"/>
  <c r="Q75" i="67" s="1"/>
  <c r="Q57" i="67"/>
  <c r="Q62" i="67" s="1"/>
  <c r="B2" i="67"/>
  <c r="B3" i="67"/>
  <c r="D19" i="80"/>
  <c r="D20" i="80"/>
  <c r="AO6" i="1"/>
  <c r="L51" i="77"/>
  <c r="L51" i="15"/>
  <c r="Q67" i="15" l="1"/>
  <c r="L57" i="15"/>
  <c r="L60" i="15" s="1"/>
  <c r="C80" i="15"/>
  <c r="C79" i="15" s="1"/>
  <c r="C71" i="15"/>
  <c r="J16" i="15"/>
  <c r="J25" i="15" s="1"/>
  <c r="C40" i="15"/>
  <c r="Q69" i="15"/>
  <c r="Q68" i="15" s="1"/>
  <c r="C56" i="11"/>
  <c r="C57" i="11" s="1"/>
  <c r="D103" i="80"/>
  <c r="G20" i="80"/>
  <c r="R24" i="31" s="1"/>
  <c r="D102" i="80"/>
  <c r="D22" i="80"/>
  <c r="D21" i="80"/>
  <c r="G19" i="80"/>
  <c r="B6" i="70"/>
  <c r="B3" i="76"/>
  <c r="C52" i="68"/>
  <c r="B2" i="68" s="1"/>
  <c r="B3" i="68" s="1"/>
  <c r="Q67" i="77"/>
  <c r="L57" i="77"/>
  <c r="L60" i="77" s="1"/>
  <c r="Q65" i="77"/>
  <c r="Q56" i="77"/>
  <c r="Q47" i="77"/>
  <c r="Q53" i="77" s="1"/>
  <c r="C43" i="77"/>
  <c r="D2" i="77"/>
  <c r="C83" i="77"/>
  <c r="C82" i="77" s="1"/>
  <c r="C45" i="77"/>
  <c r="C46" i="77" s="1"/>
  <c r="C57" i="68"/>
  <c r="C56" i="68" s="1"/>
  <c r="C57" i="69"/>
  <c r="C56" i="69" s="1"/>
  <c r="M63" i="40"/>
  <c r="L65" i="40"/>
  <c r="M68" i="39"/>
  <c r="L70" i="39"/>
  <c r="R29" i="31" l="1"/>
  <c r="S29" i="31" s="1"/>
  <c r="R31" i="31"/>
  <c r="S31" i="31" s="1"/>
  <c r="R30" i="31"/>
  <c r="S30" i="31" s="1"/>
  <c r="B2" i="15"/>
  <c r="B3" i="15" s="1"/>
  <c r="Q47" i="15"/>
  <c r="Q53" i="15" s="1"/>
  <c r="C83" i="15"/>
  <c r="C82" i="15" s="1"/>
  <c r="Q65" i="15"/>
  <c r="C43" i="15"/>
  <c r="Q56" i="15"/>
  <c r="C46" i="15"/>
  <c r="Q57" i="15"/>
  <c r="Q66" i="15"/>
  <c r="S24" i="31"/>
  <c r="R28" i="31"/>
  <c r="S28" i="31" s="1"/>
  <c r="R27" i="31"/>
  <c r="S27" i="31" s="1"/>
  <c r="R26" i="31"/>
  <c r="S26" i="31" s="1"/>
  <c r="R25" i="31"/>
  <c r="S25" i="31" s="1"/>
  <c r="G21" i="80"/>
  <c r="C32" i="80"/>
  <c r="B3" i="77"/>
  <c r="B2" i="77"/>
  <c r="Q57" i="77"/>
  <c r="Q62" i="77" s="1"/>
  <c r="Q66" i="77"/>
  <c r="Q75" i="77" s="1"/>
  <c r="N63" i="40"/>
  <c r="M65" i="40"/>
  <c r="N68" i="39"/>
  <c r="M70" i="39"/>
  <c r="AO7" i="1"/>
  <c r="D19" i="78"/>
  <c r="D20" i="78"/>
  <c r="Q62" i="15" l="1"/>
  <c r="Q75" i="15"/>
  <c r="S22" i="31"/>
  <c r="C35" i="80"/>
  <c r="D103" i="78"/>
  <c r="G20" i="78"/>
  <c r="D102" i="78"/>
  <c r="D22" i="78"/>
  <c r="G19" i="78"/>
  <c r="D21" i="78"/>
  <c r="B7" i="70"/>
  <c r="B2" i="70" s="1"/>
  <c r="B3" i="70" s="1"/>
  <c r="J7" i="40"/>
  <c r="N65" i="40"/>
  <c r="O63" i="40"/>
  <c r="O65" i="40" s="1"/>
  <c r="F7" i="40" s="1"/>
  <c r="O68" i="39"/>
  <c r="O70" i="39" s="1"/>
  <c r="N70" i="39"/>
  <c r="R22" i="31" l="1"/>
  <c r="B21" i="31" s="1"/>
  <c r="B20" i="31"/>
  <c r="G118" i="80"/>
  <c r="F118" i="80" s="1"/>
  <c r="F119" i="80" s="1"/>
  <c r="C34" i="80"/>
  <c r="I118" i="80"/>
  <c r="H118" i="80" s="1"/>
  <c r="H119" i="80" s="1"/>
  <c r="G21" i="78"/>
  <c r="C32" i="78"/>
  <c r="S7" i="40"/>
  <c r="AA7" i="40"/>
  <c r="R42" i="40" s="1"/>
  <c r="H7" i="40"/>
  <c r="W7" i="40"/>
  <c r="AC7" i="40"/>
  <c r="V42" i="40" s="1"/>
  <c r="I42" i="40" s="1"/>
  <c r="F7" i="39"/>
  <c r="J7" i="39"/>
  <c r="H7" i="39"/>
  <c r="D20" i="9"/>
  <c r="D19" i="9"/>
  <c r="C20" i="9"/>
  <c r="C19" i="9"/>
  <c r="D103" i="9" l="1"/>
  <c r="D102" i="9"/>
  <c r="D21" i="9"/>
  <c r="G20" i="9"/>
  <c r="C103" i="9"/>
  <c r="C102" i="9"/>
  <c r="D22" i="9"/>
  <c r="G19" i="9"/>
  <c r="C21" i="9"/>
  <c r="C104" i="80"/>
  <c r="H101" i="80"/>
  <c r="H107" i="80" s="1"/>
  <c r="M49" i="80" s="1"/>
  <c r="E118" i="80"/>
  <c r="D118" i="80" s="1"/>
  <c r="D119" i="80" s="1"/>
  <c r="H102" i="80"/>
  <c r="C105" i="80"/>
  <c r="C35" i="78"/>
  <c r="F118" i="78" s="1"/>
  <c r="H118" i="78"/>
  <c r="E42" i="40"/>
  <c r="I47" i="40" s="1"/>
  <c r="J47" i="40" s="1"/>
  <c r="R43" i="40"/>
  <c r="I46" i="40"/>
  <c r="J46" i="40" s="1"/>
  <c r="U7" i="40"/>
  <c r="AB7" i="40"/>
  <c r="T42" i="40" s="1"/>
  <c r="G42" i="40" s="1"/>
  <c r="AB7" i="39"/>
  <c r="T47" i="39" s="1"/>
  <c r="G47" i="39" s="1"/>
  <c r="U7" i="39"/>
  <c r="AC7" i="39"/>
  <c r="V47" i="39" s="1"/>
  <c r="I47" i="39" s="1"/>
  <c r="W7" i="39"/>
  <c r="S7" i="39"/>
  <c r="AA7" i="39"/>
  <c r="R47" i="39" s="1"/>
  <c r="L66" i="80" l="1"/>
  <c r="M66" i="80" s="1"/>
  <c r="L64" i="80"/>
  <c r="M64" i="80" s="1"/>
  <c r="L67" i="80"/>
  <c r="M67" i="80" s="1"/>
  <c r="L65" i="80"/>
  <c r="M65" i="80" s="1"/>
  <c r="L68" i="80"/>
  <c r="M68" i="80" s="1"/>
  <c r="L63" i="80"/>
  <c r="M63" i="80" s="1"/>
  <c r="M69" i="80" s="1"/>
  <c r="N69" i="80" s="1"/>
  <c r="F15" i="74"/>
  <c r="E15" i="74"/>
  <c r="D45" i="80"/>
  <c r="C85" i="80" s="1"/>
  <c r="M48" i="80"/>
  <c r="C32" i="9"/>
  <c r="G21" i="9"/>
  <c r="H108" i="80"/>
  <c r="D122" i="80"/>
  <c r="D123" i="80" s="1"/>
  <c r="C34" i="78"/>
  <c r="D118" i="78" s="1"/>
  <c r="D119" i="78" s="1"/>
  <c r="G118" i="78"/>
  <c r="F119" i="78"/>
  <c r="C104" i="78"/>
  <c r="H101" i="78"/>
  <c r="I118" i="78"/>
  <c r="H119" i="78"/>
  <c r="G47" i="40"/>
  <c r="H47" i="40" s="1"/>
  <c r="G46" i="40"/>
  <c r="H46" i="40" s="1"/>
  <c r="C43" i="40"/>
  <c r="C42" i="40"/>
  <c r="E47" i="40"/>
  <c r="F47" i="40" s="1"/>
  <c r="E46" i="40"/>
  <c r="F46" i="40" s="1"/>
  <c r="I51" i="39"/>
  <c r="J51" i="39" s="1"/>
  <c r="E47" i="39"/>
  <c r="I52" i="39" s="1"/>
  <c r="J52" i="39" s="1"/>
  <c r="R48" i="39"/>
  <c r="G51" i="39"/>
  <c r="H51" i="39" s="1"/>
  <c r="G52" i="39"/>
  <c r="H52" i="39" s="1"/>
  <c r="D52" i="80" l="1"/>
  <c r="C78" i="80"/>
  <c r="C73" i="80" s="1"/>
  <c r="C72" i="80"/>
  <c r="C64" i="80"/>
  <c r="C63" i="80" s="1"/>
  <c r="C67" i="80" s="1"/>
  <c r="C68" i="80" s="1"/>
  <c r="D54" i="80" s="1"/>
  <c r="D55" i="80"/>
  <c r="M53" i="80" s="1"/>
  <c r="C93" i="80"/>
  <c r="C86" i="80" s="1"/>
  <c r="C95" i="80" s="1"/>
  <c r="D53" i="80"/>
  <c r="C35" i="9"/>
  <c r="F118" i="9" s="1"/>
  <c r="H118" i="9"/>
  <c r="D45" i="78"/>
  <c r="H107" i="78"/>
  <c r="M49" i="78" s="1"/>
  <c r="M48" i="78"/>
  <c r="E118" i="78"/>
  <c r="H102" i="78"/>
  <c r="C105" i="78"/>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L66" i="78" l="1"/>
  <c r="M66" i="78" s="1"/>
  <c r="L64" i="78"/>
  <c r="M64" i="78" s="1"/>
  <c r="L67" i="78"/>
  <c r="M67" i="78" s="1"/>
  <c r="L65" i="78"/>
  <c r="M65" i="78" s="1"/>
  <c r="L68" i="78"/>
  <c r="M68" i="78" s="1"/>
  <c r="L63" i="78"/>
  <c r="M63" i="78" s="1"/>
  <c r="M69" i="78" s="1"/>
  <c r="N69" i="78" s="1"/>
  <c r="C34" i="9"/>
  <c r="D118" i="9" s="1"/>
  <c r="D4" i="52" s="1"/>
  <c r="B47" i="72" s="1"/>
  <c r="C79" i="80"/>
  <c r="C80" i="80" s="1"/>
  <c r="E80" i="80" s="1"/>
  <c r="E81" i="80" s="1"/>
  <c r="I118" i="9"/>
  <c r="H101" i="9"/>
  <c r="H4" i="52"/>
  <c r="D14" i="74"/>
  <c r="H119" i="9"/>
  <c r="H5" i="52" s="1"/>
  <c r="C104" i="9"/>
  <c r="D119" i="9"/>
  <c r="D5" i="52" s="1"/>
  <c r="B49" i="72" s="1"/>
  <c r="F4" i="52"/>
  <c r="B51" i="72" s="1"/>
  <c r="G118" i="9"/>
  <c r="G4" i="52" s="1"/>
  <c r="B52" i="72" s="1"/>
  <c r="F119" i="9"/>
  <c r="F5" i="52" s="1"/>
  <c r="B53" i="72" s="1"/>
  <c r="C96" i="80"/>
  <c r="E96" i="80" s="1"/>
  <c r="E97" i="80" s="1"/>
  <c r="H108" i="78"/>
  <c r="D122" i="78"/>
  <c r="D123" i="78" s="1"/>
  <c r="D55" i="78"/>
  <c r="M53" i="78" s="1"/>
  <c r="C64" i="78"/>
  <c r="C63" i="78" s="1"/>
  <c r="C67" i="78" s="1"/>
  <c r="C68" i="78" s="1"/>
  <c r="D54" i="78" s="1"/>
  <c r="D53" i="78"/>
  <c r="C85" i="78"/>
  <c r="D52" i="78"/>
  <c r="C72" i="78"/>
  <c r="C93" i="78"/>
  <c r="C86" i="78" s="1"/>
  <c r="C78" i="78"/>
  <c r="C73" i="7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79" i="78" l="1"/>
  <c r="C81" i="80"/>
  <c r="I4" i="52"/>
  <c r="C105" i="9"/>
  <c r="H102" i="9"/>
  <c r="D7" i="53" s="1"/>
  <c r="B21" i="72" s="1"/>
  <c r="E118" i="9"/>
  <c r="E4" i="52" s="1"/>
  <c r="B48" i="72" s="1"/>
  <c r="E14" i="74"/>
  <c r="B5" i="74"/>
  <c r="F14" i="74"/>
  <c r="D45" i="9"/>
  <c r="H107" i="9"/>
  <c r="M49" i="9" s="1"/>
  <c r="D5" i="53"/>
  <c r="M48" i="9"/>
  <c r="C97" i="80"/>
  <c r="D58" i="80" s="1"/>
  <c r="D56" i="80" s="1"/>
  <c r="M54" i="80" s="1"/>
  <c r="N57" i="80" s="1"/>
  <c r="P57" i="80" s="1"/>
  <c r="C80" i="78"/>
  <c r="E80" i="78" s="1"/>
  <c r="E81" i="78" s="1"/>
  <c r="C95" i="78"/>
  <c r="L64" i="9" l="1"/>
  <c r="M64" i="9" s="1"/>
  <c r="L68" i="9"/>
  <c r="M68" i="9" s="1"/>
  <c r="L63" i="9"/>
  <c r="M63" i="9" s="1"/>
  <c r="L65" i="9"/>
  <c r="M65" i="9" s="1"/>
  <c r="L67" i="9"/>
  <c r="M67" i="9" s="1"/>
  <c r="L66" i="9"/>
  <c r="M66" i="9" s="1"/>
  <c r="D6" i="53"/>
  <c r="B22" i="72" s="1"/>
  <c r="B20" i="72"/>
  <c r="C93" i="9"/>
  <c r="C86" i="9" s="1"/>
  <c r="D53" i="9"/>
  <c r="C64" i="9"/>
  <c r="C63" i="9" s="1"/>
  <c r="C67" i="9" s="1"/>
  <c r="C68" i="9" s="1"/>
  <c r="D54" i="9" s="1"/>
  <c r="D52" i="9"/>
  <c r="C85" i="9"/>
  <c r="C72" i="9"/>
  <c r="D55" i="9"/>
  <c r="M53" i="9" s="1"/>
  <c r="C78" i="9"/>
  <c r="C73" i="9" s="1"/>
  <c r="C5" i="74"/>
  <c r="D5" i="74"/>
  <c r="D13" i="53"/>
  <c r="H108" i="9"/>
  <c r="D15" i="53" s="1"/>
  <c r="B31" i="72" s="1"/>
  <c r="D122" i="9"/>
  <c r="N58" i="80"/>
  <c r="N59" i="80"/>
  <c r="N60" i="80" s="1"/>
  <c r="C81" i="78"/>
  <c r="C96" i="78"/>
  <c r="E96" i="78" s="1"/>
  <c r="E97" i="78" s="1"/>
  <c r="M69" i="9" l="1"/>
  <c r="N69" i="9" s="1"/>
  <c r="C95" i="9"/>
  <c r="C96" i="9" s="1"/>
  <c r="E96" i="9" s="1"/>
  <c r="E97" i="9" s="1"/>
  <c r="C79" i="9"/>
  <c r="D123" i="9"/>
  <c r="D9" i="52" s="1"/>
  <c r="G14" i="74"/>
  <c r="B6" i="74" s="1"/>
  <c r="D8" i="52"/>
  <c r="B30" i="72"/>
  <c r="D14" i="53"/>
  <c r="B32" i="72" s="1"/>
  <c r="N61" i="80"/>
  <c r="C97" i="78"/>
  <c r="D58" i="78" s="1"/>
  <c r="D56" i="78" s="1"/>
  <c r="M54" i="78" s="1"/>
  <c r="N57" i="78" s="1"/>
  <c r="P57" i="78" s="1"/>
  <c r="C97" i="9" l="1"/>
  <c r="D58" i="9" s="1"/>
  <c r="D56" i="9" s="1"/>
  <c r="M54" i="9" s="1"/>
  <c r="N57" i="9" s="1"/>
  <c r="N58" i="9" s="1"/>
  <c r="D6" i="74"/>
  <c r="C6" i="74"/>
  <c r="C80" i="9"/>
  <c r="E80" i="9" s="1"/>
  <c r="E81" i="9" s="1"/>
  <c r="N59" i="78"/>
  <c r="N61" i="78" s="1"/>
  <c r="N58" i="78"/>
  <c r="P57" i="9" l="1"/>
  <c r="N59" i="9"/>
  <c r="N61" i="9" s="1"/>
  <c r="C81" i="9"/>
  <c r="N60" i="78"/>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<sst xmlns="http://schemas.openxmlformats.org/spreadsheetml/2006/main" count="8389" uniqueCount="3124">
  <si>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</si>
  <si>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</si>
  <si>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</si>
  <si>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</si>
  <si>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</si>
  <si>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</si>
  <si>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</si>
  <si>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</si>
  <si>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</si>
  <si>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</si>
  <si>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</si>
  <si>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</si>
  <si>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</si>
  <si>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</si>
  <si>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</si>
  <si>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</si>
  <si>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</si>
  <si>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</si>
  <si>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</si>
  <si>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</si>
  <si>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</si>
  <si>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</si>
  <si>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</si>
  <si>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</si>
  <si>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</si>
  <si>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</si>
  <si>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</si>
  <si>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</si>
  <si>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</si>
  <si>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</si>
  <si>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</si>
  <si>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</si>
  <si>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</si>
  <si>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</si>
  <si>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</si>
  <si>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</si>
  <si>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</si>
  <si>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</si>
  <si>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</si>
  <si>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</si>
  <si>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</si>
  <si>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</si>
  <si>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</si>
  <si>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</si>
  <si>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</si>
  <si>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</si>
  <si>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</si>
  <si>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</si>
  <si>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</si>
  <si>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</si>
  <si>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</si>
  <si>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</si>
  <si>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</si>
  <si>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</si>
  <si>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</si>
  <si>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</si>
  <si>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</si>
  <si>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</si>
  <si>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</si>
  <si>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</si>
  <si>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</si>
  <si>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</si>
  <si>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</si>
  <si>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</si>
  <si>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</si>
  <si>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</si>
  <si>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</si>
  <si>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</si>
  <si>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</si>
  <si>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</si>
  <si>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</si>
  <si>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</si>
  <si>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</si>
  <si>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</si>
  <si>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</si>
  <si>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</si>
  <si>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</si>
  <si>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</si>
  <si>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</si>
  <si>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</si>
  <si>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</si>
  <si>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</si>
  <si>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</si>
  <si>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</si>
  <si>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</si>
  <si>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</si>
  <si>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</si>
  <si>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</si>
  <si>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</si>
  <si>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</si>
  <si>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</si>
  <si>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</si>
  <si>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</si>
  <si>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</si>
  <si>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</si>
  <si>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</si>
  <si>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</si>
  <si>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</si>
  <si>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</si>
  <si>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</si>
  <si>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</si>
  <si>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</si>
  <si>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</si>
  <si>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</si>
  <si>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</si>
  <si>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</si>
  <si>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</si>
  <si>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</si>
  <si>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</si>
  <si>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</si>
  <si>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</si>
  <si>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</si>
  <si>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</si>
  <si>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</si>
  <si>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</si>
  <si>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</si>
  <si>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</si>
  <si>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</si>
  <si>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</si>
  <si>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</si>
  <si>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</si>
  <si>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</si>
  <si>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</si>
  <si>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</si>
  <si>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</si>
  <si>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</si>
  <si>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</si>
  <si>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</si>
  <si>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</si>
  <si>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</si>
  <si>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</si>
  <si>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</si>
  <si>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</si>
  <si>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</si>
  <si>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</si>
  <si>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</si>
  <si>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</si>
  <si>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</si>
  <si>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</si>
  <si>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</si>
  <si>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</si>
  <si>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</si>
  <si>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</si>
  <si>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</si>
  <si>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</si>
  <si>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</si>
  <si>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</si>
  <si>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</si>
  <si>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</si>
  <si>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</si>
  <si>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</si>
  <si>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</si>
  <si>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</si>
  <si>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</si>
  <si>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</si>
  <si>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</si>
  <si>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</si>
  <si>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</si>
  <si>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</si>
  <si>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</si>
  <si>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</si>
  <si>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</si>
  <si>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</si>
  <si>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</si>
  <si>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</si>
  <si>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</si>
  <si>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</si>
  <si>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</si>
  <si>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</si>
  <si>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</si>
  <si>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</si>
  <si>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</si>
  <si>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</si>
  <si>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</si>
  <si>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</si>
  <si>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</si>
  <si>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</si>
  <si>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</si>
  <si>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</si>
  <si>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</si>
  <si>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</si>
  <si>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</si>
  <si>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</si>
  <si>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</si>
  <si>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</si>
  <si>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</si>
  <si>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</si>
  <si>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</si>
  <si>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</si>
  <si>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</si>
  <si>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</si>
  <si>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</si>
  <si>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</si>
  <si>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</si>
  <si>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</si>
  <si>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</si>
  <si>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</si>
  <si>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</si>
  <si>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</si>
  <si>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</si>
  <si>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</si>
  <si>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</si>
  <si>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</si>
  <si>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</si>
  <si>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</si>
  <si>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</si>
  <si>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</si>
  <si>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</si>
  <si>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</si>
  <si>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</si>
  <si>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</si>
  <si>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</si>
  <si>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</si>
  <si>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</si>
  <si>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</si>
  <si>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</si>
  <si>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</si>
  <si>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</si>
  <si>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</si>
  <si>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</si>
  <si>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</si>
  <si>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</si>
  <si>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</si>
  <si>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</si>
  <si>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</si>
  <si>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</si>
  <si>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</si>
  <si>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</si>
  <si>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</si>
  <si>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</si>
  <si>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</si>
  <si>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</si>
  <si>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</si>
  <si>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</si>
  <si>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</si>
  <si>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</si>
  <si>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</si>
  <si>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</si>
  <si>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</si>
  <si>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</si>
  <si>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</si>
  <si>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</si>
  <si>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</si>
  <si>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</si>
  <si>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</si>
  <si>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</si>
  <si>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</si>
  <si>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</si>
  <si>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</si>
  <si>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</si>
  <si>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</si>
  <si>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</si>
  <si>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</si>
  <si>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</si>
  <si>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</si>
  <si>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</si>
  <si>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</si>
  <si>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</si>
  <si>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</si>
  <si>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</si>
  <si>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</si>
  <si>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</si>
  <si>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</si>
  <si>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</si>
  <si>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</si>
  <si>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</si>
  <si>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</si>
  <si>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</si>
  <si>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</si>
  <si>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</si>
  <si>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</si>
  <si>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</si>
  <si>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</si>
  <si>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</si>
  <si>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</si>
  <si>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</si>
  <si>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</si>
  <si>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</si>
  <si>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</si>
  <si>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</si>
  <si>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</si>
  <si>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</si>
  <si>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</si>
  <si>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</si>
  <si>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</si>
  <si>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</si>
  <si>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</si>
  <si>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</si>
  <si>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</si>
  <si>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</si>
  <si>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</si>
  <si>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</si>
  <si>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</si>
  <si>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</si>
  <si>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</si>
  <si>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</si>
  <si>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</si>
  <si>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</si>
  <si>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</si>
  <si>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</si>
  <si>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</si>
  <si>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</si>
  <si>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</si>
  <si>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</si>
  <si>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</si>
  <si>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</si>
  <si>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</si>
  <si>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</si>
  <si>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</si>
  <si>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</si>
  <si>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</si>
  <si>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</si>
  <si>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</si>
  <si>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</si>
  <si>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</si>
  <si>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</si>
  <si>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</si>
  <si>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</si>
  <si>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</si>
  <si>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</si>
  <si>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</si>
  <si>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</si>
  <si>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</si>
  <si>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</si>
  <si>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</si>
  <si>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</si>
  <si>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</si>
  <si>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</si>
  <si>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</si>
  <si>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</si>
  <si>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</si>
  <si>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</si>
  <si>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</si>
  <si>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</si>
  <si>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</si>
  <si>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</si>
  <si>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</si>
  <si>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</si>
  <si>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</si>
  <si>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</si>
  <si>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</si>
  <si>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</si>
  <si>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</si>
  <si>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</si>
  <si>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</si>
  <si>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</si>
  <si>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</si>
  <si>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</si>
  <si>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</si>
  <si>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</si>
  <si>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</si>
  <si>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</si>
  <si>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</si>
  <si>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</si>
  <si>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</si>
  <si>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</si>
  <si>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</si>
  <si>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</si>
  <si>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</si>
  <si>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</si>
  <si>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</si>
  <si>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</si>
  <si>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</si>
  <si>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</si>
  <si>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</si>
  <si>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</si>
  <si>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</si>
  <si>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</si>
  <si>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</si>
  <si>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</si>
  <si>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</si>
  <si>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</si>
  <si>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</si>
  <si>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</si>
  <si>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</si>
  <si>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</si>
  <si>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</si>
  <si>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</si>
  <si>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</si>
  <si>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</si>
  <si>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</si>
  <si>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</si>
  <si>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</si>
  <si>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</si>
  <si>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</si>
  <si>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</si>
  <si>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</si>
  <si>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</si>
  <si>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</si>
  <si>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</si>
  <si>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</si>
  <si>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</si>
  <si>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</si>
  <si>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</si>
  <si>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</si>
  <si>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</si>
  <si>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</si>
  <si>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</si>
  <si>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</si>
  <si>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</si>
  <si>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</si>
  <si>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</si>
  <si>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</si>
  <si>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</si>
  <si>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</si>
  <si>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</si>
  <si>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</si>
  <si>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</si>
  <si>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</si>
  <si>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</si>
  <si>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</si>
  <si>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</si>
  <si>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</si>
  <si>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</si>
  <si>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</si>
  <si>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</si>
  <si>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</si>
  <si>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</si>
  <si>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</si>
  <si>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</si>
  <si>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</si>
  <si>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</si>
  <si>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</si>
  <si>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</si>
  <si>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</si>
  <si>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</si>
  <si>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</si>
  <si>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</si>
  <si>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</si>
  <si>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</si>
  <si>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</si>
  <si>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</si>
  <si>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</si>
  <si>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</si>
  <si>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</si>
  <si>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</si>
  <si>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</si>
  <si>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</si>
  <si>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</si>
  <si>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</si>
  <si>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</si>
  <si>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</si>
  <si>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</si>
  <si>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</si>
  <si>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</si>
  <si>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</si>
  <si>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</si>
  <si>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</si>
  <si>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</si>
  <si>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</si>
  <si>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</si>
  <si>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</si>
  <si>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</si>
  <si>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</si>
  <si>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</si>
  <si>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</si>
  <si>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</si>
  <si>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</si>
  <si>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</si>
  <si>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</si>
  <si>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</si>
  <si>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</si>
  <si>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</si>
  <si>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</si>
  <si>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</si>
  <si>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</si>
  <si>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</si>
  <si>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</si>
  <si>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</si>
  <si>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</si>
  <si>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</si>
  <si>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</si>
  <si>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</si>
  <si>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</si>
  <si>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</si>
  <si>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</si>
  <si>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</si>
  <si>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</si>
  <si>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</si>
  <si>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</si>
  <si>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</si>
  <si>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</si>
  <si>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</si>
  <si>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</si>
  <si>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</si>
  <si>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</si>
  <si>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</si>
  <si>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</si>
  <si>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</si>
  <si>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</si>
  <si>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</si>
  <si>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</si>
  <si>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</si>
  <si>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</si>
  <si>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</si>
  <si>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</si>
  <si>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</si>
  <si>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</si>
  <si>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</si>
  <si>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</si>
  <si>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</si>
  <si>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</si>
  <si>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</si>
  <si>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</si>
  <si>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</si>
  <si>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</si>
  <si>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</si>
  <si>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</si>
  <si>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</si>
  <si>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</si>
  <si>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</si>
  <si>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</si>
  <si>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</si>
  <si>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</si>
  <si>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</si>
  <si>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</si>
  <si>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</si>
  <si>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</si>
  <si>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</si>
  <si>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</si>
  <si>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</si>
  <si>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</si>
  <si>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</si>
  <si>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</si>
  <si>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</si>
  <si>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</si>
  <si>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</si>
  <si>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</si>
  <si>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</si>
  <si>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</si>
  <si>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</si>
  <si>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</si>
  <si>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</si>
  <si>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</si>
  <si>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</si>
  <si>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</si>
  <si>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</si>
  <si>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</si>
  <si>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</si>
  <si>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</si>
  <si>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</si>
  <si>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</si>
  <si>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</si>
  <si>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</si>
  <si>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</si>
  <si>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</si>
  <si>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</si>
  <si>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</si>
  <si>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</si>
  <si>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</si>
  <si>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</si>
  <si>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</si>
  <si>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</si>
  <si>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</si>
  <si>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</si>
  <si>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</si>
  <si>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</si>
  <si>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</si>
  <si>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</si>
  <si>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</si>
  <si>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</si>
  <si>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</si>
  <si>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</si>
  <si>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</si>
  <si>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</si>
  <si>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</si>
  <si>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</si>
  <si>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</si>
  <si>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</si>
  <si>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</si>
  <si>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</si>
  <si>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</si>
  <si>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</si>
  <si>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</si>
  <si>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</si>
  <si>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</si>
  <si>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</si>
  <si>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</si>
  <si>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</si>
  <si>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</si>
  <si>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</si>
  <si>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</si>
  <si>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</si>
  <si>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</si>
  <si>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</si>
  <si>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</si>
  <si>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</si>
  <si>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</si>
  <si>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</si>
  <si>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</si>
  <si>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</si>
  <si>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</si>
  <si>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</si>
  <si>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</si>
  <si>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</si>
  <si>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</si>
  <si>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</si>
  <si>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</si>
  <si>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</si>
  <si>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</si>
  <si>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</si>
  <si>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</si>
  <si>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</si>
  <si>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</si>
  <si>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</si>
  <si>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</si>
  <si>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</si>
  <si>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</si>
  <si>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</si>
  <si>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</si>
  <si>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</si>
  <si>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</si>
  <si>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</si>
  <si>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</si>
  <si>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</si>
  <si>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</si>
  <si>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</si>
  <si>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</si>
  <si>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</si>
  <si>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</si>
  <si>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</si>
  <si>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</si>
  <si>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</si>
  <si>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</si>
  <si>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</si>
  <si>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</si>
  <si>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</si>
  <si>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</si>
  <si>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</si>
  <si>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</si>
  <si>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</si>
  <si>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</si>
  <si>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</si>
  <si>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</si>
  <si>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</si>
  <si>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</si>
  <si>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</si>
  <si>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</si>
  <si>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</si>
  <si>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</si>
  <si>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</si>
  <si>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</si>
  <si>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</si>
  <si>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</si>
  <si>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</si>
  <si>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</si>
  <si>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</si>
  <si>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</si>
  <si>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</si>
  <si>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</si>
  <si>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</si>
  <si>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</si>
  <si>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</si>
  <si>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</si>
  <si>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</si>
  <si>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</si>
  <si>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</si>
  <si>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</si>
  <si>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</si>
  <si>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</si>
  <si>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</si>
  <si>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</si>
  <si>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</si>
  <si>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</si>
  <si>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</si>
  <si>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</si>
  <si>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</si>
  <si>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</si>
  <si>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</si>
  <si>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</si>
  <si>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</si>
  <si>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</si>
  <si>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</si>
  <si>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</si>
  <si>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</si>
  <si>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</si>
  <si>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</si>
  <si>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</si>
  <si>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</si>
  <si>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</si>
  <si>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</si>
  <si>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</si>
  <si>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</si>
  <si>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</si>
  <si>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</si>
  <si>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</si>
  <si>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</si>
  <si>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</si>
  <si>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</si>
  <si>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</si>
  <si>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</si>
  <si>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</si>
  <si>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</si>
  <si>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</si>
  <si>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</si>
  <si>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</si>
  <si>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</si>
  <si>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</si>
  <si>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</si>
  <si>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</si>
  <si>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</si>
  <si>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</si>
  <si>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</si>
  <si>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</si>
  <si>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</si>
  <si>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</si>
  <si>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</si>
  <si>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</si>
  <si>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</si>
  <si>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</si>
  <si>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</si>
  <si>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</si>
  <si>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</si>
  <si>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</si>
  <si>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</si>
  <si>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</si>
  <si>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</si>
  <si>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</si>
  <si>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</si>
  <si>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</si>
  <si>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</si>
  <si>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</si>
  <si>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</si>
  <si>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</si>
  <si>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</si>
  <si>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</si>
  <si>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</si>
  <si>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</si>
  <si>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</si>
  <si>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</si>
  <si>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</si>
  <si>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</si>
  <si>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</si>
  <si>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</si>
  <si>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</si>
  <si>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</si>
  <si>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</si>
  <si>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</si>
  <si>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</si>
  <si>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</si>
  <si>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</si>
  <si>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</si>
  <si>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</si>
  <si>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</si>
  <si>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</si>
  <si>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</si>
  <si>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</si>
  <si>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</si>
  <si>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</si>
  <si>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</si>
  <si>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</si>
  <si>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</si>
  <si>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</si>
  <si>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</si>
  <si>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</si>
  <si>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</si>
  <si>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</si>
  <si>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</si>
  <si>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</si>
  <si>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</si>
  <si>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</si>
  <si>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</si>
  <si>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</si>
  <si>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</si>
  <si>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</si>
  <si>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</si>
  <si>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</si>
  <si>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</si>
  <si>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</si>
  <si>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</si>
  <si>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</si>
  <si>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</si>
  <si>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</si>
  <si>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</si>
  <si>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</si>
  <si>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</si>
  <si>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</si>
  <si>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</si>
  <si>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</si>
  <si>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</si>
  <si>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</si>
  <si>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</si>
  <si>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</si>
  <si>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</si>
  <si>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</si>
  <si>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</si>
  <si>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</si>
  <si>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</si>
  <si>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</si>
  <si>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</si>
  <si>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</si>
  <si>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</si>
  <si>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</si>
  <si>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</si>
  <si>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</si>
  <si>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</si>
  <si>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</si>
  <si>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</si>
  <si>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</si>
  <si>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</si>
  <si>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</si>
  <si>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</si>
  <si>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</si>
  <si>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</si>
  <si>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</si>
  <si>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</si>
  <si>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</si>
  <si>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</si>
  <si>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</si>
  <si>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</si>
  <si>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</si>
  <si>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</si>
  <si>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</si>
  <si>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</si>
  <si>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</si>
  <si>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</si>
  <si>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</si>
  <si>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</si>
  <si>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</si>
  <si>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</si>
  <si>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</si>
  <si>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</si>
  <si>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</si>
  <si>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</si>
  <si>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</si>
  <si>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</si>
  <si>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</si>
  <si>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</si>
  <si>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</si>
  <si>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</si>
  <si>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</si>
  <si>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</si>
  <si>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</si>
  <si>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</si>
  <si>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</si>
  <si>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</si>
  <si>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</si>
  <si>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</si>
  <si>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</si>
  <si>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</si>
  <si>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</si>
  <si>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</si>
  <si>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</si>
  <si>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</si>
  <si>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</si>
  <si>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</si>
  <si>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</si>
  <si>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</si>
  <si>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</si>
  <si>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</si>
  <si>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</si>
  <si>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</si>
  <si>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</si>
  <si>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</si>
  <si>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</si>
  <si>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</si>
  <si>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</si>
  <si>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</si>
  <si>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</si>
  <si>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</si>
  <si>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</si>
  <si>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</si>
  <si>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</si>
  <si>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</si>
  <si>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</si>
  <si>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</si>
  <si>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</si>
  <si>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</si>
  <si>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</si>
  <si>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</si>
  <si>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</si>
  <si>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</si>
  <si>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</si>
  <si>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</si>
  <si>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</si>
  <si>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</si>
  <si>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</si>
  <si>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</si>
  <si>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</si>
  <si>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</si>
  <si>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</si>
  <si>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</si>
  <si>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</si>
  <si>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</si>
  <si>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</si>
  <si>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</si>
  <si>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</si>
  <si>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</si>
  <si>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</si>
  <si>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</si>
  <si>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</si>
  <si>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</si>
  <si>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</si>
  <si>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</si>
  <si>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</si>
  <si>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</si>
  <si>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</si>
  <si>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</si>
  <si>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</si>
  <si>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</si>
  <si>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</si>
  <si>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</si>
  <si>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</si>
  <si>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</si>
  <si>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</si>
  <si>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</si>
  <si>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</si>
  <si>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</si>
  <si>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</si>
  <si>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</si>
  <si>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</si>
  <si>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</si>
  <si>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</si>
  <si>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</si>
  <si>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</si>
  <si>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</si>
  <si>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</si>
  <si>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</si>
  <si>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</si>
  <si>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</si>
  <si>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</si>
  <si>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</si>
  <si>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</si>
  <si>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</si>
  <si>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</si>
  <si>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</si>
  <si>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</si>
  <si>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</si>
  <si>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</si>
  <si>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</si>
  <si>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</si>
  <si>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</si>
  <si>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</si>
  <si>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</si>
  <si>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</si>
  <si>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</si>
  <si>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</si>
  <si>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</si>
  <si>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</si>
  <si>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</si>
  <si>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</si>
  <si>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</si>
  <si>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</si>
  <si>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</si>
  <si>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</si>
  <si>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</si>
  <si>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</si>
  <si>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</si>
  <si>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</si>
  <si>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</si>
  <si>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</si>
  <si>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</si>
  <si>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</si>
  <si>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</si>
  <si>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</si>
  <si>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</si>
  <si>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</si>
  <si>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</si>
  <si>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</si>
  <si>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</si>
  <si>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</si>
  <si>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</si>
  <si>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</si>
  <si>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</si>
  <si>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</si>
  <si>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</si>
  <si>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</si>
  <si>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</si>
  <si>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</si>
  <si>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</si>
  <si>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</si>
  <si>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</si>
  <si>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</si>
  <si>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</si>
  <si>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</si>
  <si>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</si>
  <si>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</si>
  <si>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</si>
  <si>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</si>
  <si>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</si>
  <si>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</si>
  <si>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</si>
  <si>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</si>
  <si>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</si>
  <si>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</si>
  <si>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</si>
  <si>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</si>
  <si>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</si>
  <si>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</si>
  <si>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</si>
  <si>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</si>
  <si>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</si>
  <si>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</si>
  <si>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</si>
  <si>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</si>
  <si>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</si>
  <si>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</si>
  <si>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</si>
  <si>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</si>
  <si>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</si>
  <si>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</si>
  <si>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</si>
  <si>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</si>
  <si>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</si>
  <si>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</si>
  <si>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</si>
  <si>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</si>
  <si>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</si>
  <si>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</si>
  <si>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</si>
  <si>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</si>
  <si>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</si>
  <si>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</si>
  <si>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</si>
  <si>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</si>
  <si>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</si>
  <si>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</si>
  <si>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</si>
  <si>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</si>
  <si>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</si>
  <si>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</si>
  <si>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</si>
  <si>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</si>
  <si>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</si>
  <si>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</si>
  <si>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</si>
  <si>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</si>
  <si>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</si>
  <si>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</si>
  <si>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</si>
  <si>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</si>
  <si>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</si>
  <si>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</si>
  <si>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</si>
  <si>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</si>
  <si>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</si>
  <si>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</si>
  <si>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</si>
  <si>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</si>
  <si>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</si>
  <si>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</si>
  <si>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</si>
  <si>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</si>
  <si>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</si>
  <si>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</si>
  <si>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</si>
  <si>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</si>
  <si>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</si>
  <si>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</si>
  <si>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</si>
  <si>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</si>
  <si>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</si>
  <si>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</si>
  <si>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</si>
  <si>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</si>
  <si>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</si>
  <si>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</si>
  <si>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</si>
  <si>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</si>
  <si>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</si>
  <si>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</si>
  <si>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</si>
  <si>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</si>
  <si>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</si>
  <si>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</si>
  <si>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</si>
  <si>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</si>
  <si>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</si>
  <si>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</si>
  <si>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</si>
  <si>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</si>
  <si>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</si>
  <si>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</si>
  <si>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</si>
  <si>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</si>
  <si>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</si>
  <si>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</si>
  <si>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</si>
  <si>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</si>
  <si>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</si>
  <si>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</si>
  <si>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</si>
  <si>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</si>
  <si>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</si>
  <si>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</si>
  <si>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</si>
  <si>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</si>
  <si>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</si>
  <si>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</si>
  <si>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</si>
  <si>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</si>
  <si>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</si>
  <si>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</si>
  <si>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</si>
  <si>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</si>
  <si>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</si>
  <si>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</si>
  <si>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</si>
  <si>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</si>
  <si>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</si>
  <si>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</si>
  <si>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</si>
  <si>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</si>
  <si>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</si>
  <si>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</si>
  <si>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</si>
  <si>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</si>
  <si>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</si>
  <si>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</si>
  <si>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</si>
  <si>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</si>
  <si>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</si>
  <si>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</si>
  <si>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</si>
  <si>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</si>
  <si>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</si>
  <si>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</si>
  <si>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</si>
  <si>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</si>
  <si>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</si>
  <si>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</si>
  <si>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</si>
  <si>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</si>
  <si>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</si>
  <si>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</si>
  <si>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</si>
  <si>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</si>
  <si>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</si>
  <si>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</si>
  <si>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</si>
  <si>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</si>
  <si>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</si>
  <si>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</si>
  <si>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</si>
  <si>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</si>
  <si>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</si>
  <si>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</si>
  <si>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</si>
  <si>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</si>
  <si>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</si>
  <si>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</si>
  <si>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</si>
  <si>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</si>
  <si>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</si>
  <si>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</si>
  <si>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</si>
  <si>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</si>
  <si>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</si>
  <si>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</si>
  <si>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</si>
  <si>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</si>
  <si>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</si>
  <si>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</si>
  <si>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</si>
  <si>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</si>
  <si>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</si>
  <si>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</si>
  <si>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</si>
  <si>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</si>
  <si>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</si>
  <si>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</si>
  <si>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</si>
  <si>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</si>
  <si>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</si>
  <si>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</si>
  <si>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</si>
  <si>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</si>
  <si>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</si>
  <si>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</si>
  <si>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</si>
  <si>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</si>
  <si>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</si>
  <si>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</si>
  <si>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</si>
  <si>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</si>
  <si>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</si>
  <si>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</si>
  <si>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</si>
  <si>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</si>
  <si>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</si>
  <si>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</si>
  <si>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</si>
  <si>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</si>
  <si>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</si>
  <si>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</si>
  <si>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</si>
  <si>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</si>
  <si>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</si>
  <si>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</si>
  <si>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</si>
  <si>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</si>
  <si>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</si>
  <si>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</si>
  <si>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</si>
  <si>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</si>
  <si>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</si>
  <si>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</si>
  <si>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</si>
  <si>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</si>
  <si>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</si>
  <si>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</si>
  <si>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</si>
  <si>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</si>
  <si>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</si>
  <si>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</si>
  <si>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</si>
  <si>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</si>
  <si>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</si>
  <si>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</si>
  <si>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</si>
  <si>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</si>
  <si>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</si>
  <si>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</si>
  <si>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</si>
  <si>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</si>
  <si>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</si>
  <si>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</si>
  <si>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</si>
  <si>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</si>
  <si>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</si>
  <si>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</si>
  <si>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</si>
  <si>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</si>
  <si>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</si>
  <si>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</si>
  <si>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</si>
  <si>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</si>
  <si>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</si>
  <si>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</si>
  <si>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</si>
  <si>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</si>
  <si>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</si>
  <si>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</si>
  <si>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</si>
  <si>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</si>
  <si>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</si>
  <si>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</si>
  <si>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</si>
  <si>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</si>
  <si>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</si>
  <si>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</si>
  <si>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</si>
  <si>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</si>
  <si>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</si>
  <si>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</si>
  <si>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</si>
  <si>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</si>
  <si>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</si>
  <si>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</si>
  <si>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</si>
  <si>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</si>
  <si>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</si>
  <si>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</si>
  <si>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</si>
  <si>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</si>
  <si>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</si>
  <si>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</si>
  <si>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</si>
  <si>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</si>
  <si>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</si>
  <si>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</si>
  <si>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</si>
  <si>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</si>
  <si>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</si>
  <si>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</si>
  <si>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</si>
  <si>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</si>
  <si>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</si>
  <si>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</si>
  <si>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</si>
  <si>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</si>
  <si>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</si>
  <si>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</si>
  <si>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</si>
  <si>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</si>
  <si>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</si>
  <si>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</si>
  <si>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</si>
  <si>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</si>
  <si>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</si>
  <si>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</si>
  <si>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</si>
  <si>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</si>
  <si>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</si>
  <si>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</si>
  <si>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</si>
  <si>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</si>
  <si>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</si>
  <si>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</si>
  <si>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</si>
  <si>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</si>
  <si>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</si>
  <si>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</si>
  <si>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</si>
  <si>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</si>
  <si>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</si>
  <si>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</si>
  <si>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</si>
  <si>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</si>
  <si>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</si>
  <si>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</si>
  <si>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</si>
  <si>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</si>
  <si>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</si>
  <si>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</si>
  <si>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</si>
  <si>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</si>
  <si>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</si>
  <si>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</si>
  <si>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</si>
  <si>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</si>
  <si>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</si>
  <si>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</si>
  <si>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</si>
  <si>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</si>
  <si>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</si>
  <si>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</si>
  <si>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</si>
  <si>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</si>
  <si>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</si>
  <si>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</si>
  <si>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</si>
  <si>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</si>
  <si>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</si>
  <si>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</si>
  <si>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</si>
  <si>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</si>
  <si>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</si>
  <si>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</si>
  <si>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</si>
  <si>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</si>
  <si>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</si>
  <si>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</si>
  <si>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</si>
  <si>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</si>
  <si>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</si>
  <si>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</si>
  <si>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</si>
  <si>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</si>
  <si>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</si>
  <si>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</si>
  <si>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</si>
  <si>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</si>
  <si>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</si>
  <si>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</si>
  <si>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</si>
  <si>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</si>
  <si>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</si>
  <si>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</si>
  <si>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</si>
  <si>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</si>
  <si>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</si>
  <si>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</si>
  <si>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</si>
  <si>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</si>
  <si>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</si>
  <si>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</si>
  <si>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</si>
  <si>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</si>
  <si>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</si>
  <si>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</si>
  <si>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</si>
  <si>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</si>
  <si>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</si>
  <si>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</si>
  <si>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</si>
  <si>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</si>
  <si>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</si>
  <si>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</si>
  <si>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</si>
  <si>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</si>
  <si>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</si>
  <si>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</si>
  <si>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</si>
  <si>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</si>
  <si>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</si>
  <si>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</si>
  <si>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</si>
  <si>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</si>
  <si>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</si>
  <si>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</si>
  <si>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</si>
  <si>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</si>
  <si>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</si>
  <si>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</si>
  <si>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</si>
  <si>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</si>
  <si>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</si>
  <si>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</si>
  <si>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</si>
  <si>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</si>
  <si>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</si>
  <si>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</si>
  <si>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</si>
  <si>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</si>
  <si>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</si>
  <si>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</si>
  <si>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</si>
  <si>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</si>
  <si>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</si>
  <si>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</si>
  <si>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</si>
  <si>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</si>
  <si>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</si>
  <si>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</si>
  <si>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</si>
  <si>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</si>
  <si>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</si>
  <si>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</si>
  <si>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</si>
  <si>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</si>
  <si>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</si>
  <si>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</si>
  <si>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</si>
  <si>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</si>
  <si>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</si>
  <si>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</si>
  <si>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</si>
  <si>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</si>
  <si>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</si>
  <si>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</si>
  <si>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</si>
  <si>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</si>
  <si>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</si>
  <si>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</si>
  <si>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</si>
  <si>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</si>
  <si>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</si>
  <si>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</si>
  <si>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</si>
  <si>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</si>
  <si>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</si>
  <si>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</si>
  <si>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</si>
  <si>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</si>
  <si>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</si>
  <si>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</si>
  <si>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</si>
  <si>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</si>
  <si>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</si>
  <si>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</si>
  <si>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</si>
  <si>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</si>
  <si>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</si>
  <si>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</si>
  <si>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</si>
  <si>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</si>
  <si>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</si>
  <si>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</si>
  <si>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</si>
  <si>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</si>
  <si>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</si>
  <si>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</si>
  <si>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</si>
  <si>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</si>
  <si>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</si>
  <si>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</si>
  <si>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</si>
  <si>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</si>
  <si>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</si>
  <si>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</si>
  <si>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</si>
  <si>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</si>
  <si>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</si>
  <si>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</si>
  <si>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</si>
  <si>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</si>
  <si>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</si>
  <si>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</si>
  <si>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</si>
  <si>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</si>
  <si>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</si>
  <si>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</si>
  <si>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</si>
  <si>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</si>
  <si>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</si>
  <si>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</si>
  <si>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</si>
  <si>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</si>
  <si>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</si>
  <si>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</si>
  <si>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</si>
  <si>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</si>
  <si>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</si>
  <si>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</si>
  <si>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</si>
  <si>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</si>
  <si>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</si>
  <si>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</si>
  <si>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</si>
  <si>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</si>
  <si>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</si>
  <si>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</si>
  <si>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</si>
  <si>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</si>
  <si>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</si>
  <si>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</si>
  <si>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</si>
  <si>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</si>
  <si>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</si>
  <si>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</si>
  <si>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</si>
  <si>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</si>
  <si>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</si>
  <si>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</si>
  <si>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</si>
  <si>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</si>
  <si>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</si>
  <si>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</si>
  <si>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</si>
  <si>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</si>
  <si>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</si>
  <si>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</si>
  <si>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</si>
  <si>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</si>
  <si>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</si>
  <si>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</si>
  <si>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</si>
  <si>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</si>
  <si>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</si>
  <si>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</si>
  <si>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</si>
  <si>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</si>
  <si>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</si>
  <si>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</si>
  <si>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</si>
  <si>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</si>
  <si>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</si>
  <si>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</si>
  <si>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</si>
  <si>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</si>
  <si>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</si>
  <si>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</si>
  <si>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</si>
  <si>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</si>
  <si>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</si>
  <si>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</si>
  <si>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</si>
  <si>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</si>
  <si>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</si>
  <si>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</si>
  <si>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</si>
  <si>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</si>
  <si>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</si>
  <si>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</si>
  <si>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</si>
  <si>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</si>
  <si>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</si>
  <si>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</si>
  <si>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</si>
  <si>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</si>
  <si>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</si>
  <si>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</si>
  <si>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</si>
  <si>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</si>
  <si>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</si>
  <si>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</si>
  <si>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</si>
  <si>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</si>
  <si>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</si>
  <si>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</si>
  <si>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</si>
  <si>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</si>
  <si>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</si>
  <si>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</si>
  <si>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</si>
  <si>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</si>
  <si>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</si>
  <si>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</si>
  <si>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</si>
  <si>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</si>
  <si>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</si>
  <si>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</si>
  <si>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</si>
  <si>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</si>
  <si>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</si>
  <si>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</si>
  <si>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</si>
  <si>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</si>
  <si>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</si>
  <si>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</si>
  <si>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</si>
  <si>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</si>
  <si>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</si>
  <si>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</si>
  <si>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</si>
  <si>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</si>
  <si>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</si>
  <si>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</si>
  <si>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</si>
  <si>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</si>
  <si>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</si>
  <si>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</si>
  <si>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</si>
  <si>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</si>
  <si>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</si>
  <si>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</si>
  <si>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</si>
  <si>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</si>
  <si>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</si>
  <si>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</si>
  <si>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</si>
  <si>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</si>
  <si>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</si>
  <si>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</si>
  <si>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</si>
  <si>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</si>
  <si>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</si>
  <si>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</si>
  <si>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</si>
  <si>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</si>
  <si>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</si>
  <si>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</si>
  <si>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</si>
  <si>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</si>
  <si>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</si>
  <si>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</si>
  <si>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</si>
  <si>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</si>
  <si>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</si>
  <si>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</si>
  <si>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</si>
  <si>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</si>
  <si>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</si>
  <si>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</si>
  <si>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</si>
  <si>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</si>
  <si>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</si>
  <si>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</si>
  <si>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</si>
  <si>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</si>
  <si>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</si>
  <si>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</si>
  <si>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</si>
  <si>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</si>
  <si>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</si>
  <si>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</si>
  <si>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</si>
  <si>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</si>
  <si>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</si>
  <si>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</si>
  <si>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</si>
  <si>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</si>
  <si>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</si>
  <si>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</si>
  <si>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</si>
  <si>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</si>
  <si>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</si>
  <si>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</si>
  <si>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</si>
  <si>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</si>
  <si>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</si>
  <si>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</si>
  <si>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</si>
  <si>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</si>
  <si>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</si>
  <si>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</si>
  <si>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</si>
  <si>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</si>
  <si>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</si>
  <si>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</si>
  <si>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</si>
  <si>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</si>
  <si>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</si>
  <si>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</si>
  <si>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</si>
  <si>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</si>
  <si>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</si>
  <si>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</si>
  <si>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</si>
  <si>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</si>
  <si>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</si>
  <si>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</si>
  <si>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</si>
  <si>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</si>
  <si>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</si>
  <si>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</si>
  <si>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</si>
  <si>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</si>
  <si>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</si>
  <si>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</si>
  <si>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</si>
  <si>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</si>
  <si>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</si>
  <si>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</si>
  <si>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</si>
  <si>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</si>
  <si>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</si>
  <si>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</si>
  <si>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</si>
  <si>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</si>
  <si>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</si>
  <si>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</si>
  <si>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</si>
  <si>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</si>
  <si>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</si>
  <si>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</si>
  <si>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</si>
  <si>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</si>
  <si>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</si>
  <si>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</si>
  <si>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</si>
  <si>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</si>
  <si>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</si>
  <si>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</si>
  <si>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</si>
  <si>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</si>
  <si>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</si>
  <si>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</si>
  <si>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</si>
  <si>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</si>
  <si>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</si>
  <si>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</si>
  <si>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</si>
  <si>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</si>
  <si>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</si>
  <si>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</si>
  <si>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</si>
  <si>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</si>
  <si>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</si>
  <si>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</si>
  <si>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</si>
  <si>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</si>
  <si>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</si>
  <si>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</si>
  <si>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</si>
  <si>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</si>
  <si>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</si>
  <si>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</si>
  <si>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</si>
  <si>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</si>
  <si>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</si>
  <si>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</si>
  <si>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</si>
  <si>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</si>
  <si>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</si>
  <si>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</si>
  <si>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</si>
  <si>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</si>
  <si>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</si>
  <si>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</si>
  <si>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</si>
  <si>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</si>
  <si>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</si>
  <si>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</si>
  <si>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</si>
  <si>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</si>
  <si>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</si>
  <si>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</si>
  <si>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</si>
  <si>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</si>
  <si>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</si>
  <si>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</si>
  <si>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</si>
  <si>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</si>
  <si>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</si>
  <si>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</si>
  <si>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</si>
  <si>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</si>
  <si>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</si>
  <si>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</si>
  <si>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</si>
  <si>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</si>
  <si>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</si>
  <si>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</si>
  <si>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</si>
  <si>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</si>
  <si>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</si>
  <si>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</si>
  <si>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</si>
  <si>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</si>
  <si>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</si>
  <si>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</si>
  <si>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</si>
  <si>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</si>
  <si>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</si>
  <si>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</si>
  <si>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</si>
  <si>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</si>
  <si>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</si>
  <si>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</si>
  <si>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</si>
  <si>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</si>
  <si>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</si>
  <si>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</si>
  <si>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</si>
  <si>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</si>
  <si>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</si>
  <si>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</si>
  <si>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</si>
  <si>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</si>
  <si>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</si>
  <si>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</si>
  <si>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</si>
  <si>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</si>
  <si>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</si>
  <si>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</si>
  <si>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</si>
  <si>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</si>
  <si>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</si>
  <si>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</si>
  <si>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</si>
  <si>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</si>
  <si>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</si>
  <si>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</si>
  <si>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</si>
  <si>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</si>
  <si>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</si>
  <si>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</si>
  <si>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</si>
  <si>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</si>
  <si>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</si>
  <si>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</si>
  <si>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</si>
  <si>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</si>
  <si>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</si>
  <si>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</si>
  <si>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</si>
  <si>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</si>
  <si>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</si>
  <si>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</si>
  <si>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</si>
  <si>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</si>
  <si>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</si>
  <si>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</si>
  <si>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</si>
  <si>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</si>
  <si>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</si>
  <si>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</si>
  <si>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</si>
  <si>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</si>
  <si>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</si>
  <si>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</si>
  <si>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</si>
  <si>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</si>
  <si>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</si>
  <si>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</si>
  <si>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</si>
  <si>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</si>
  <si>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</si>
  <si>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</si>
  <si>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</si>
  <si>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</si>
  <si>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</si>
  <si>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</si>
  <si>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</si>
  <si>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</si>
  <si>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</si>
  <si>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</si>
  <si>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</si>
  <si>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</si>
  <si>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</si>
  <si>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</si>
  <si>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</si>
  <si>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</si>
  <si>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</si>
  <si>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</si>
  <si>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</si>
  <si>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</si>
  <si>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</si>
  <si>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</si>
  <si>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</si>
  <si>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</si>
  <si>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</si>
  <si>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</si>
  <si>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</si>
  <si>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</si>
  <si>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</si>
  <si>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</si>
  <si>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</si>
  <si>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</si>
  <si>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</si>
  <si>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</si>
  <si>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</si>
  <si>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</si>
  <si>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</si>
  <si>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</si>
  <si>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</si>
  <si>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</si>
  <si>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</si>
  <si>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</si>
  <si>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</si>
  <si>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</si>
  <si>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</si>
  <si>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</si>
  <si>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</si>
  <si>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</si>
  <si>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</si>
  <si>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</si>
  <si>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</si>
  <si>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</si>
  <si>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</si>
  <si>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</si>
  <si>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</si>
  <si>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</si>
  <si>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</si>
  <si>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</si>
  <si>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</si>
  <si>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</si>
  <si>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</si>
  <si>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</si>
  <si>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</si>
  <si>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</si>
  <si>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</si>
  <si>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</si>
  <si>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</si>
  <si>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</si>
  <si>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</si>
  <si>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</si>
  <si>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</si>
  <si>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</si>
  <si>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</si>
  <si>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</si>
  <si>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</si>
  <si>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</si>
  <si>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</si>
  <si>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</si>
  <si>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</si>
  <si>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</si>
  <si>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</si>
  <si>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</si>
  <si>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</si>
  <si>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</si>
  <si>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</si>
  <si>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</si>
  <si>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</si>
  <si>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</si>
  <si>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</si>
  <si>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</si>
  <si>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</si>
  <si>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</si>
  <si>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</si>
  <si>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</si>
  <si>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</si>
  <si>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</si>
  <si>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</si>
  <si>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</si>
  <si>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</si>
  <si>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</si>
  <si>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</si>
  <si>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</si>
  <si>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</si>
  <si>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</si>
  <si>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</si>
  <si>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</si>
  <si>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</si>
  <si>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</si>
  <si>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</si>
  <si>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</si>
  <si>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</si>
  <si>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</si>
  <si>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</si>
  <si>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</si>
  <si>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</si>
  <si>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</si>
  <si>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</si>
  <si>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</si>
  <si>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</si>
  <si>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</si>
  <si>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</si>
  <si>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</si>
  <si>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</si>
  <si>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</si>
  <si>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</si>
  <si>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</si>
  <si>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</si>
  <si>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</si>
  <si>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</si>
  <si>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</si>
  <si>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</si>
  <si>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</si>
  <si>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</si>
  <si>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</si>
  <si>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</si>
  <si>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</si>
  <si>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</si>
  <si>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</si>
  <si>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</si>
  <si>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</si>
  <si>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</si>
  <si>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</si>
  <si>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</si>
  <si>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</si>
  <si>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</si>
  <si>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</si>
  <si>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</si>
  <si>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</si>
  <si>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</si>
  <si>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</si>
  <si>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</si>
  <si>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</si>
  <si>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</si>
  <si>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</si>
  <si>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</si>
  <si>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</si>
  <si>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</si>
  <si>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</si>
  <si>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</si>
  <si>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</si>
  <si>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</si>
  <si>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</si>
  <si>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</si>
  <si>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</si>
  <si>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</si>
  <si>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</si>
  <si>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</si>
  <si>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</si>
  <si>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</si>
  <si>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</si>
  <si>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</si>
  <si>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</si>
  <si>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</si>
  <si>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</si>
  <si>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</si>
  <si>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</si>
  <si>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</si>
  <si>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</si>
  <si>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</si>
  <si>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</si>
  <si>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</si>
  <si>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</si>
  <si>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</si>
  <si>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</si>
  <si>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</si>
  <si>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</si>
  <si>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</si>
  <si>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</si>
  <si>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</si>
  <si>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</si>
  <si>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</si>
  <si>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</si>
  <si>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</si>
  <si>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</si>
  <si>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</si>
  <si>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</si>
  <si>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</si>
  <si>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</si>
  <si>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</si>
  <si>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</si>
  <si>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</si>
  <si>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</si>
  <si>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</si>
  <si>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</si>
  <si>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</si>
  <si>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</si>
  <si>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</si>
  <si>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</si>
  <si>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</si>
  <si>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</si>
  <si>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</si>
  <si>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</si>
  <si>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</si>
  <si>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</si>
  <si>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</si>
  <si>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</si>
  <si>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</si>
  <si>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</si>
  <si>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</si>
  <si>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</si>
  <si>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</si>
  <si>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</si>
  <si>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</si>
  <si>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</si>
  <si>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</si>
  <si>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</si>
  <si>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</si>
  <si>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</si>
  <si>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</si>
  <si>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</si>
  <si>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</si>
  <si>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</si>
  <si>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</si>
  <si>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</si>
  <si>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</si>
  <si>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</si>
  <si>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</si>
  <si>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</si>
  <si>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</si>
  <si>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</si>
  <si>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</si>
  <si>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</si>
  <si>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</si>
  <si>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</si>
  <si>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</si>
  <si>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</si>
  <si>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</si>
  <si>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</si>
  <si>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</si>
  <si>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</si>
  <si>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</si>
  <si>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</si>
  <si>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</si>
  <si>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</si>
  <si>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</si>
  <si>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</si>
  <si>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</si>
  <si>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</si>
  <si>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</si>
  <si>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</si>
  <si>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</si>
  <si>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</si>
  <si>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</si>
  <si>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</si>
  <si>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</si>
  <si>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</si>
  <si>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</si>
  <si>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</si>
  <si>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</si>
  <si>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</si>
  <si>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</si>
  <si>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</si>
  <si>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</si>
  <si>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</si>
  <si>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</si>
  <si>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</si>
  <si>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</si>
  <si>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</si>
  <si>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</si>
  <si>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</si>
  <si>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</si>
  <si>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</si>
  <si>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</si>
  <si>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</si>
  <si>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</si>
  <si>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</si>
  <si>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</si>
  <si>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</si>
  <si>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</si>
  <si>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</si>
  <si>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</si>
  <si>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</si>
  <si>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</si>
  <si>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</si>
  <si>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</si>
  <si>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</si>
  <si>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</si>
  <si>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</si>
  <si>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</si>
  <si>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</si>
  <si>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</si>
  <si>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</si>
  <si>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</si>
  <si>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</si>
  <si>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</si>
  <si>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</si>
  <si>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</si>
  <si>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</si>
  <si>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</si>
  <si>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</si>
  <si>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</si>
  <si>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</si>
  <si>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</si>
  <si>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</si>
  <si>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</si>
  <si>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</si>
  <si>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</si>
  <si>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</si>
  <si>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</si>
  <si>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</si>
  <si>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</si>
  <si>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</si>
  <si>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</si>
  <si>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</si>
  <si>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</si>
  <si>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</si>
  <si>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</si>
  <si>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</si>
  <si>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</si>
  <si>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</si>
  <si>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</si>
  <si>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</si>
  <si>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</si>
  <si>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</si>
  <si>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</si>
  <si>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</si>
  <si>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</si>
  <si>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</si>
  <si>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</si>
  <si>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</si>
  <si>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</si>
  <si>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</si>
  <si>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</si>
  <si>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</si>
  <si>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</si>
  <si>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</si>
  <si>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</si>
  <si>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</si>
  <si>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</si>
  <si>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</si>
  <si>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</si>
  <si>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</si>
  <si>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</si>
  <si>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</si>
  <si>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</si>
  <si>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</si>
  <si>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</si>
  <si>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</si>
  <si>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</si>
  <si>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</si>
  <si>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</si>
  <si>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</si>
  <si>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</si>
  <si>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</si>
  <si>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</si>
  <si>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</si>
  <si>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</si>
  <si>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</si>
  <si>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</si>
  <si>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</si>
  <si>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</si>
  <si>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</si>
  <si>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</si>
  <si>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</si>
  <si>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</si>
  <si>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</si>
  <si>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</si>
  <si>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</si>
  <si>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</si>
  <si>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</si>
  <si>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</si>
  <si>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</si>
  <si>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</si>
  <si>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</si>
  <si>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</si>
  <si>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</si>
  <si>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</si>
  <si>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</si>
  <si>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</si>
  <si>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</si>
  <si>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</si>
  <si>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</si>
  <si>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</si>
  <si>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</si>
  <si>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</si>
  <si>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</si>
  <si>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</si>
  <si>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</si>
  <si>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</si>
  <si>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</si>
  <si>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</si>
  <si>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</si>
  <si>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</si>
  <si>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</si>
  <si>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</si>
  <si>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</si>
  <si>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</si>
  <si>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</si>
  <si>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</si>
  <si>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</si>
  <si>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</si>
  <si>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</si>
  <si>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</si>
  <si>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</si>
  <si>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</si>
  <si>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</si>
  <si>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</si>
  <si>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</si>
  <si>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</si>
  <si>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</si>
  <si>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</si>
  <si>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</si>
  <si>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</si>
  <si>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</si>
  <si>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</si>
  <si>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</si>
  <si>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</si>
  <si>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</si>
  <si>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</si>
  <si>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</si>
  <si>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</si>
  <si>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</si>
  <si>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</si>
  <si>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</si>
  <si>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</si>
  <si>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</si>
  <si>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</si>
  <si>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</si>
  <si>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</si>
  <si>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</si>
  <si>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</si>
  <si>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</si>
  <si>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</si>
  <si>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</si>
  <si>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</si>
  <si>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</si>
  <si>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</si>
  <si>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</si>
  <si>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</si>
  <si>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</si>
  <si>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</si>
  <si>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</si>
  <si>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</si>
  <si>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</si>
  <si>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</si>
  <si>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</si>
  <si>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</si>
  <si>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</si>
  <si>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</si>
  <si>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</si>
  <si>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</si>
  <si>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</si>
  <si>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</si>
  <si>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</si>
  <si>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</si>
  <si>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</si>
  <si>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</si>
  <si>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</si>
  <si>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</si>
  <si>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</si>
  <si>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</si>
  <si>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</si>
  <si>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</si>
  <si>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</si>
  <si>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</si>
  <si>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</si>
  <si>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</si>
  <si>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</si>
  <si>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</si>
  <si>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</si>
  <si>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</si>
  <si>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</si>
  <si>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</si>
  <si>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</si>
  <si>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</si>
  <si>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</si>
  <si>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</si>
  <si>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</si>
  <si>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</si>
  <si>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</si>
  <si>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</si>
  <si>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</si>
  <si>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</si>
  <si>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</si>
  <si>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</si>
  <si>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</si>
  <si>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</si>
  <si>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</si>
  <si>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</si>
  <si>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</si>
  <si>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</si>
  <si>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</si>
  <si>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</si>
  <si>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</si>
  <si>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</si>
  <si>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</si>
  <si>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</si>
  <si>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</si>
  <si>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</si>
  <si>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</si>
  <si>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</si>
  <si>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</si>
  <si>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</si>
  <si>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</si>
  <si>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</si>
  <si>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</si>
  <si>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</si>
  <si>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</si>
  <si>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</si>
  <si>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</si>
  <si>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</si>
  <si>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</si>
  <si>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</si>
  <si>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</si>
  <si>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</si>
  <si>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</si>
  <si>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</si>
  <si>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</si>
  <si>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</si>
  <si>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</si>
  <si>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</si>
  <si>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</si>
  <si>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</si>
  <si>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</si>
  <si>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</si>
  <si>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</si>
  <si>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</si>
  <si>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</si>
  <si>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</si>
  <si>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</si>
  <si>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</si>
  <si>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</si>
  <si>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</si>
  <si>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</si>
  <si>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</si>
  <si>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</si>
  <si>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</si>
  <si>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</si>
  <si>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</si>
  <si>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</si>
  <si>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</si>
  <si>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</si>
  <si>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</si>
  <si>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</si>
  <si>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</si>
  <si>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</si>
  <si>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</si>
  <si>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</si>
  <si>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</si>
  <si>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</si>
  <si>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</si>
  <si>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</si>
  <si>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</si>
  <si>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</si>
  <si>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</si>
  <si>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</si>
  <si>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</si>
  <si>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</si>
  <si>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</si>
  <si>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</si>
  <si>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</si>
  <si>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</si>
  <si>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</si>
  <si>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</si>
  <si>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</si>
  <si>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</si>
  <si>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</si>
  <si>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</si>
  <si>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</si>
  <si>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</si>
  <si>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</si>
  <si>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</si>
  <si>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</si>
  <si>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</si>
  <si>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</si>
  <si>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</si>
  <si>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</si>
  <si>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</si>
  <si>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</si>
  <si>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</si>
  <si>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</si>
  <si>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</si>
  <si>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</si>
  <si>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</si>
  <si>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</si>
  <si>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</si>
  <si>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</si>
  <si>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</si>
  <si>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</si>
  <si>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</si>
  <si>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</si>
  <si>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</si>
  <si>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</si>
  <si>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</si>
  <si>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</si>
  <si>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</si>
  <si>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</si>
  <si>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</si>
  <si>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</si>
  <si>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</si>
  <si>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</si>
  <si>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</si>
  <si>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</si>
  <si>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</si>
  <si>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</si>
  <si>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</si>
  <si>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</si>
  <si>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</si>
  <si>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</si>
  <si>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</si>
  <si>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</si>
  <si>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</si>
  <si>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</si>
  <si>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</si>
  <si>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</si>
  <si>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</si>
  <si>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</si>
  <si>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</si>
  <si>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</si>
  <si>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</si>
  <si>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</si>
  <si>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</si>
  <si>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</si>
  <si>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</si>
  <si>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</si>
  <si>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</si>
  <si>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</si>
  <si>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</si>
  <si>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</si>
  <si>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</si>
  <si>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</si>
  <si>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</si>
  <si>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</si>
  <si>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</si>
  <si>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</si>
  <si>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</si>
  <si>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</si>
  <si>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</si>
  <si>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</si>
  <si>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</si>
  <si>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</si>
  <si>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</si>
  <si>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</si>
  <si>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</si>
  <si>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</si>
  <si>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</si>
  <si>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</si>
  <si>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</si>
  <si>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</si>
  <si>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</si>
  <si>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</si>
  <si>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</si>
  <si>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</si>
  <si>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</si>
  <si>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</si>
  <si>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</si>
  <si>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</si>
  <si>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</si>
  <si>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</si>
  <si>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</si>
  <si>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</si>
  <si>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</si>
  <si>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</si>
  <si>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</si>
  <si>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</si>
  <si>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</si>
  <si>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</si>
  <si>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</si>
  <si>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</si>
  <si>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</si>
  <si>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</si>
  <si>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</si>
  <si>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</si>
  <si>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</si>
  <si>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</si>
  <si>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</si>
  <si>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</si>
  <si>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</si>
  <si>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</si>
  <si>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</si>
  <si>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</si>
  <si>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</si>
  <si>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</si>
  <si>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</si>
  <si>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</si>
  <si>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</si>
  <si>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</si>
  <si>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</si>
  <si>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</si>
  <si>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</si>
  <si>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</si>
  <si>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</si>
  <si>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</si>
  <si>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</si>
  <si>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</si>
  <si>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</si>
  <si>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</si>
  <si>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</si>
  <si>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</si>
  <si>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</si>
  <si>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</si>
  <si>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</si>
  <si>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</si>
  <si>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</si>
  <si>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</si>
  <si>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</si>
  <si>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</si>
  <si>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</si>
  <si>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</si>
  <si>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</si>
  <si>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</si>
  <si>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</si>
  <si>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</si>
  <si>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</si>
  <si>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</si>
  <si>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</si>
  <si>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</si>
  <si>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</si>
  <si>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</si>
  <si>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</si>
  <si>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</si>
  <si>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</si>
  <si>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</si>
  <si>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</si>
  <si>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</si>
  <si>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</si>
  <si>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</si>
  <si>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</si>
  <si>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</si>
  <si>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</si>
  <si>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</si>
  <si>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</si>
  <si>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</si>
  <si>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</si>
  <si>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</si>
  <si>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</si>
  <si>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</si>
  <si>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</si>
  <si>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</si>
  <si>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</si>
  <si>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</si>
  <si>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</si>
  <si>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</si>
  <si>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</si>
  <si>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</si>
  <si>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</si>
  <si>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</si>
  <si>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</si>
  <si>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</si>
  <si>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</si>
  <si>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</si>
  <si>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</si>
  <si>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</si>
  <si>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</si>
  <si>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</si>
  <si>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</si>
  <si>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</si>
  <si>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</si>
  <si>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</si>
  <si>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</si>
  <si>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</si>
  <si>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</si>
  <si>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</si>
  <si>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</si>
  <si>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</si>
  <si>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</si>
  <si>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</si>
  <si>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</si>
  <si>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</si>
  <si>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</si>
  <si>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</si>
  <si>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</si>
  <si>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</si>
  <si>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</si>
  <si>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</si>
  <si>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</si>
  <si>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</si>
  <si>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</si>
  <si>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</si>
  <si>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</si>
  <si>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</si>
  <si>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</si>
  <si>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</si>
  <si>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</si>
  <si>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</si>
  <si>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</si>
  <si>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</si>
  <si>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</si>
  <si>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</si>
  <si>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</si>
  <si>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</si>
  <si>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</si>
  <si>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</si>
  <si>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</si>
  <si>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</si>
  <si>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</si>
  <si>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</si>
  <si>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</si>
  <si>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</si>
  <si>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</si>
  <si>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</si>
  <si>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</si>
  <si>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</si>
  <si>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</si>
  <si>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</si>
  <si>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</si>
  <si>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</si>
  <si>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</si>
  <si>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</si>
  <si>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</si>
  <si>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</si>
  <si>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</si>
  <si>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</si>
  <si>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</si>
  <si>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</si>
  <si>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</si>
  <si>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</si>
  <si>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</si>
  <si>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</si>
  <si>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</si>
  <si>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</si>
  <si>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</si>
  <si>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</si>
  <si>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</si>
  <si>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</si>
  <si>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</si>
  <si>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</si>
  <si>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</si>
  <si>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</si>
  <si>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</si>
  <si>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</si>
  <si>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</si>
  <si>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</si>
  <si>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</si>
  <si>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</si>
  <si>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</si>
  <si>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</si>
  <si>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</si>
  <si>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</si>
  <si>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</si>
  <si>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</si>
  <si>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</si>
  <si>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</si>
  <si>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</si>
  <si>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</si>
  <si>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</si>
  <si>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</si>
  <si>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</si>
  <si>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</si>
  <si>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</si>
  <si>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</si>
  <si>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</si>
  <si>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</si>
  <si>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</si>
  <si>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</si>
  <si>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</si>
  <si>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</si>
  <si>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</si>
  <si>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</si>
  <si>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</si>
  <si>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</si>
  <si>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</si>
  <si>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</si>
  <si>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</si>
  <si>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</si>
  <si>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</si>
  <si>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</si>
  <si>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</si>
  <si>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</si>
  <si>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</si>
  <si>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</si>
  <si>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</si>
  <si>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</si>
  <si>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</si>
  <si>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</si>
  <si>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</si>
  <si>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</si>
  <si>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</si>
  <si>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</si>
  <si>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</si>
  <si>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</si>
  <si>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</si>
  <si>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</si>
  <si>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</si>
  <si>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</si>
  <si>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</si>
  <si>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</si>
  <si>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</si>
  <si>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</si>
  <si>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</si>
  <si>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</si>
  <si>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</si>
  <si>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</si>
  <si>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</si>
  <si>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</si>
  <si>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</si>
  <si>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</si>
  <si>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</si>
  <si>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</si>
  <si>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</si>
  <si>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</si>
  <si>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</si>
  <si>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</si>
  <si>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</si>
  <si>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</si>
  <si>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</si>
  <si>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</si>
  <si>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</si>
  <si>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</si>
  <si>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</si>
  <si>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</si>
  <si>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</si>
  <si>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</si>
  <si>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</si>
  <si>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</si>
  <si>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</si>
  <si>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</si>
  <si>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</si>
  <si>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</si>
  <si>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</si>
  <si>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</si>
  <si>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</si>
  <si>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</si>
  <si>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</si>
  <si>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</si>
  <si>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</si>
  <si>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</si>
  <si>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</si>
  <si>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</si>
  <si>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</si>
  <si>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</si>
  <si>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</si>
  <si>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</si>
  <si>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</si>
  <si>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</si>
  <si>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</si>
  <si>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</si>
  <si>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</si>
  <si>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</si>
  <si>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</si>
  <si>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</si>
  <si>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</si>
  <si>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</si>
  <si>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</si>
  <si>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</si>
  <si>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</si>
  <si>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</si>
  <si>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</si>
  <si>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</si>
  <si>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</si>
  <si>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</si>
  <si>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</si>
  <si>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</si>
  <si>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</si>
  <si>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</si>
  <si>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</si>
  <si>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</si>
  <si>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</si>
  <si>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</si>
  <si>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</si>
  <si>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</si>
  <si>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</si>
  <si>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</si>
  <si>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</si>
  <si>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</si>
  <si>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</si>
  <si>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</si>
  <si>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</si>
  <si>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</si>
  <si>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</si>
  <si>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</si>
  <si>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</si>
  <si>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</si>
  <si>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</si>
  <si>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</si>
  <si>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</si>
  <si>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</si>
  <si>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</si>
  <si>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</si>
  <si>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</si>
  <si>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</si>
  <si>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</si>
  <si>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</si>
  <si>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</si>
  <si>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</si>
  <si>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</si>
  <si>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</si>
  <si>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</si>
  <si>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</si>
  <si>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</si>
  <si>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</si>
  <si>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</si>
  <si>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</si>
  <si>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</si>
  <si>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</si>
  <si>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</si>
  <si>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</si>
  <si>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</si>
  <si>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</si>
  <si>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</si>
  <si>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</si>
  <si>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</si>
  <si>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</si>
  <si>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</si>
  <si>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</si>
  <si>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</si>
  <si>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</si>
  <si>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</si>
  <si>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</si>
  <si>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</si>
  <si>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</si>
  <si>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</si>
  <si>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</si>
  <si>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</si>
  <si>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</si>
  <si>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</si>
  <si>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</si>
  <si>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</si>
  <si>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</si>
  <si>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</si>
  <si>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</si>
  <si>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</si>
  <si>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</si>
  <si>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</si>
  <si>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</si>
  <si>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</si>
  <si>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</si>
  <si>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</si>
  <si>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</si>
  <si>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</si>
  <si>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</si>
  <si>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</si>
  <si>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</si>
  <si>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</si>
  <si>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</si>
  <si>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</si>
  <si>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</si>
  <si>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</si>
  <si>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</si>
  <si>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</si>
  <si>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</si>
  <si>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</si>
  <si>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</si>
  <si>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</si>
  <si>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</si>
  <si>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</si>
  <si>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</si>
  <si>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</si>
  <si>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</si>
  <si>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</si>
  <si>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</si>
  <si>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</si>
  <si>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</si>
  <si>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</si>
  <si>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</si>
  <si>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</si>
  <si>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</si>
  <si>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</si>
  <si>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</si>
  <si>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</si>
  <si>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</si>
  <si>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</si>
  <si>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</si>
  <si>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</si>
  <si>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</si>
  <si>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</si>
  <si>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</si>
  <si>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</si>
  <si>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</si>
  <si>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</si>
  <si>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</si>
  <si>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</si>
  <si>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</si>
  <si>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</si>
  <si>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</si>
  <si>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</si>
  <si>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</si>
  <si>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</si>
  <si>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</si>
  <si>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</si>
  <si>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</si>
  <si>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</si>
  <si>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</si>
  <si>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</si>
  <si>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</si>
  <si>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</si>
  <si>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</si>
  <si>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</si>
  <si>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</si>
  <si>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</si>
  <si>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</si>
  <si>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</si>
  <si>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</si>
  <si>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</si>
  <si>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</si>
  <si>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</si>
  <si>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</si>
  <si>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</si>
  <si>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</si>
  <si>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</si>
  <si>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</si>
  <si>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</si>
  <si>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</si>
  <si>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</si>
  <si>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</si>
  <si>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</si>
  <si>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</si>
  <si>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</si>
  <si>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</si>
  <si>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</si>
  <si>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</si>
  <si>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</si>
  <si>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</si>
  <si>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</si>
  <si>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</si>
  <si>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</si>
  <si>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</si>
  <si>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</si>
  <si>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</si>
  <si>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</si>
  <si>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</si>
  <si>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</si>
  <si>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</si>
  <si>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</si>
  <si>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</si>
  <si>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</si>
  <si>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</si>
  <si>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</si>
  <si>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</si>
  <si>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</si>
  <si>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</si>
  <si>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</si>
  <si>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</si>
  <si>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</si>
  <si>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</si>
  <si>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</si>
  <si>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</si>
  <si>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</si>
  <si>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</si>
  <si>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</si>
  <si>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</si>
  <si>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</si>
  <si>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</si>
  <si>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</si>
  <si>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</si>
  <si>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</si>
  <si>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</si>
  <si>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</si>
  <si>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</si>
  <si>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</si>
  <si>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</si>
  <si>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</si>
  <si>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</si>
  <si>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</si>
  <si>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</si>
  <si>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</si>
  <si>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</si>
  <si>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</si>
  <si>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</si>
  <si>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</si>
  <si>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</si>
  <si>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</si>
  <si>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</si>
  <si>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</si>
  <si>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</si>
  <si>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</si>
  <si>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</si>
  <si>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</si>
  <si>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</si>
  <si>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</si>
  <si>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</si>
  <si>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</si>
  <si>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</si>
  <si>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</si>
  <si>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</si>
  <si>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</si>
  <si>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</si>
  <si>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</si>
  <si>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</si>
  <si>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</si>
  <si>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</si>
  <si>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</si>
  <si>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</si>
  <si>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</si>
  <si>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</si>
  <si>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</si>
  <si>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</si>
  <si>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</si>
  <si>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</si>
  <si>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</si>
  <si>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</si>
  <si>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</si>
  <si>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</si>
  <si>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</si>
  <si>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</si>
  <si>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</si>
  <si>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</si>
  <si>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</si>
  <si>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</si>
  <si>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</si>
  <si>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</si>
  <si>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</si>
  <si>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</si>
  <si>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</si>
  <si>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</si>
  <si>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自然人</t>
  </si>
  <si>
    <t>出让</t>
  </si>
  <si>
    <t>是</t>
  </si>
  <si>
    <t>地上</t>
  </si>
  <si>
    <t>住宅</t>
  </si>
  <si>
    <t>成新度</t>
  </si>
  <si>
    <t>银座</t>
    <phoneticPr fontId="3" type="noConversion"/>
  </si>
  <si>
    <t>正常</t>
  </si>
  <si>
    <t>公寓</t>
  </si>
  <si>
    <t>公寓</t>
    <phoneticPr fontId="25" type="noConversion"/>
  </si>
  <si>
    <t>西</t>
  </si>
  <si>
    <t>西</t>
    <phoneticPr fontId="25" type="noConversion"/>
  </si>
  <si>
    <t>北</t>
  </si>
  <si>
    <t>北</t>
    <phoneticPr fontId="25" type="noConversion"/>
  </si>
  <si>
    <t>跃层</t>
  </si>
  <si>
    <t>跃层</t>
    <phoneticPr fontId="25" type="noConversion"/>
  </si>
  <si>
    <t>平层</t>
  </si>
  <si>
    <t>平层</t>
    <phoneticPr fontId="25" type="noConversion"/>
  </si>
  <si>
    <t>精装修</t>
  </si>
  <si>
    <t>精装修</t>
    <phoneticPr fontId="25" type="noConversion"/>
  </si>
  <si>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</si>
  <si>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</si>
  <si>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</si>
  <si>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</si>
  <si>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</si>
  <si>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</si>
  <si>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</si>
  <si>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</si>
  <si>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</si>
  <si>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商务金融用地（办公类）</t>
  </si>
  <si>
    <t>现房</t>
  </si>
  <si>
    <t>比较法-住宅</t>
  </si>
  <si>
    <t>办公</t>
    <phoneticPr fontId="32" type="noConversion"/>
  </si>
  <si>
    <t>高层区</t>
    <phoneticPr fontId="32" type="noConversion"/>
  </si>
  <si>
    <t>中层区</t>
  </si>
  <si>
    <t>中层区</t>
    <phoneticPr fontId="32" type="noConversion"/>
  </si>
  <si>
    <t>低层区</t>
    <phoneticPr fontId="32" type="noConversion"/>
  </si>
  <si>
    <t>南</t>
  </si>
  <si>
    <t>南</t>
    <phoneticPr fontId="32" type="noConversion"/>
  </si>
  <si>
    <t>东南</t>
  </si>
  <si>
    <t>东南</t>
    <phoneticPr fontId="32" type="noConversion"/>
  </si>
  <si>
    <t>西</t>
    <phoneticPr fontId="32" type="noConversion"/>
  </si>
  <si>
    <t>北</t>
    <phoneticPr fontId="32" type="noConversion"/>
  </si>
  <si>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</si>
  <si>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</si>
  <si>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</si>
  <si>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</si>
  <si>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</si>
  <si>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</si>
  <si>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</si>
  <si>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</si>
  <si>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</si>
  <si>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</si>
  <si>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</si>
  <si>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</si>
  <si>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</si>
  <si>
    <t>东，西南</t>
    <phoneticPr fontId="25" type="noConversion"/>
  </si>
  <si>
    <t>北</t>
    <phoneticPr fontId="25" type="noConversion"/>
  </si>
  <si>
    <t>典型户型修正</t>
  </si>
  <si>
    <t>其他：</t>
  </si>
  <si>
    <t>奥克斯</t>
    <phoneticPr fontId="3" type="noConversion"/>
  </si>
  <si>
    <t>其他</t>
    <phoneticPr fontId="7" type="noConversion"/>
  </si>
  <si>
    <t>西，东北</t>
  </si>
  <si>
    <t>西，东北</t>
    <phoneticPr fontId="25" type="noConversion"/>
  </si>
  <si>
    <t>西北</t>
  </si>
  <si>
    <t>西北</t>
    <phoneticPr fontId="25" type="noConversion"/>
  </si>
  <si>
    <t>低层区</t>
  </si>
  <si>
    <t>核定资产</t>
  </si>
  <si>
    <t>房地产市场价值</t>
  </si>
  <si>
    <t>办公项目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</si>
</sst>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255" fillId="7" borderId="1" xfId="17" applyFont="1" applyFill="1" applyBorder="1" applyAlignment="1" applyProtection="1">
      <protection locked="0"/>
    </xf>
    <xf numFmtId="176" fontId="255" fillId="7" borderId="2" xfId="17" applyFont="1" applyFill="1" applyBorder="1" applyAlignment="1" applyProtection="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176" fontId="54" fillId="0" borderId="37"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6" fontId="50" fillId="3" borderId="3" xfId="0" applyNumberFormat="1" applyFont="1" applyFill="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9" borderId="1" xfId="1" applyNumberFormat="1" applyFont="1" applyFill="1" applyBorder="1" applyAlignment="1" applyProtection="1">
      <alignment horizontal="center" vertical="center"/>
      <protection locked="0"/>
    </xf>
    <xf numFmtId="0" fontId="47" fillId="9" borderId="5" xfId="0" applyFont="1" applyFill="1" applyBorder="1" applyAlignment="1" applyProtection="1">
      <alignment horizontal="center" vertical="center" wrapText="1"/>
    </xf>
    <xf numFmtId="180" fontId="50" fillId="0" borderId="1" xfId="0" applyNumberFormat="1" applyFont="1" applyFill="1" applyBorder="1" applyAlignment="1" applyProtection="1">
      <alignment horizontal="center" vertical="center" wrapText="1"/>
      <protection locked="0"/>
    </xf>
    <xf numFmtId="0" fontId="241" fillId="9" borderId="109"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670858</xdr:colOff>
      <xdr:row>1</xdr:row>
      <xdr:rowOff>9524</xdr:rowOff>
    </xdr:from>
    <xdr:to>
      <xdr:col>8</xdr:col>
      <xdr:colOff>514349</xdr:colOff>
      <xdr:row>27</xdr:row>
      <xdr:rowOff>167993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670858" y="180974"/>
          <a:ext cx="5329891" cy="4616169"/>
        </a:xfrm>
        <a:prstGeom prst="rect">
          <a:avLst/>
        </a:prstGeom>
      </xdr:spPr>
    </xdr:pic>
    <xdr:clientData/>
  </xdr:twoCellAnchor>
  <xdr:twoCellAnchor editAs="oneCell">
    <xdr:from>
      <xdr:col>9</xdr:col>
      <xdr:colOff>200024</xdr:colOff>
      <xdr:row>5</xdr:row>
      <xdr:rowOff>24294</xdr:rowOff>
    </xdr:from>
    <xdr:to>
      <xdr:col>17</xdr:col>
      <xdr:colOff>189559</xdr:colOff>
      <xdr:row>23</xdr:row>
      <xdr:rowOff>161371</xdr:rowOff>
    </xdr:to>
    <xdr:pic>
      <xdr:nvPicPr>
        <xdr:cNvPr id="4" name="图片 3"/>
        <xdr:cNvPicPr>
          <a:picLocks noChangeAspect="1"/>
        </xdr:cNvPicPr>
      </xdr:nvPicPr>
      <xdr:blipFill>
        <a:blip xmlns:r="http://schemas.openxmlformats.org/officeDocument/2006/relationships" r:embed="rId2"/>
        <a:stretch>
          <a:fillRect/>
        </a:stretch>
      </xdr:blipFill>
      <xdr:spPr>
        <a:xfrm>
          <a:off x="6372224" y="881544"/>
          <a:ext cx="5475935" cy="3223177"/>
        </a:xfrm>
        <a:prstGeom prst="rect">
          <a:avLst/>
        </a:prstGeom>
      </xdr:spPr>
    </xdr:pic>
    <xdr:clientData/>
  </xdr:twoCellAnchor>
  <xdr:twoCellAnchor editAs="oneCell">
    <xdr:from>
      <xdr:col>1</xdr:col>
      <xdr:colOff>20409</xdr:colOff>
      <xdr:row>59</xdr:row>
      <xdr:rowOff>149459</xdr:rowOff>
    </xdr:from>
    <xdr:to>
      <xdr:col>8</xdr:col>
      <xdr:colOff>447674</xdr:colOff>
      <xdr:row>86</xdr:row>
      <xdr:rowOff>84767</xdr:rowOff>
    </xdr:to>
    <xdr:pic>
      <xdr:nvPicPr>
        <xdr:cNvPr id="12" name="图片 11"/>
        <xdr:cNvPicPr>
          <a:picLocks noChangeAspect="1"/>
        </xdr:cNvPicPr>
      </xdr:nvPicPr>
      <xdr:blipFill>
        <a:blip xmlns:r="http://schemas.openxmlformats.org/officeDocument/2006/relationships" r:embed="rId3"/>
        <a:stretch>
          <a:fillRect/>
        </a:stretch>
      </xdr:blipFill>
      <xdr:spPr>
        <a:xfrm>
          <a:off x="706209" y="10265009"/>
          <a:ext cx="5227865" cy="4564458"/>
        </a:xfrm>
        <a:prstGeom prst="rect">
          <a:avLst/>
        </a:prstGeom>
      </xdr:spPr>
    </xdr:pic>
    <xdr:clientData/>
  </xdr:twoCellAnchor>
  <xdr:twoCellAnchor editAs="oneCell">
    <xdr:from>
      <xdr:col>9</xdr:col>
      <xdr:colOff>352425</xdr:colOff>
      <xdr:row>64</xdr:row>
      <xdr:rowOff>0</xdr:rowOff>
    </xdr:from>
    <xdr:to>
      <xdr:col>20</xdr:col>
      <xdr:colOff>418149</xdr:colOff>
      <xdr:row>84</xdr:row>
      <xdr:rowOff>75762</xdr:rowOff>
    </xdr:to>
    <xdr:pic>
      <xdr:nvPicPr>
        <xdr:cNvPr id="13" name="图片 12"/>
        <xdr:cNvPicPr>
          <a:picLocks noChangeAspect="1"/>
        </xdr:cNvPicPr>
      </xdr:nvPicPr>
      <xdr:blipFill>
        <a:blip xmlns:r="http://schemas.openxmlformats.org/officeDocument/2006/relationships" r:embed="rId4"/>
        <a:stretch>
          <a:fillRect/>
        </a:stretch>
      </xdr:blipFill>
      <xdr:spPr>
        <a:xfrm>
          <a:off x="6524625" y="10972800"/>
          <a:ext cx="7609524" cy="3504762"/>
        </a:xfrm>
        <a:prstGeom prst="rect">
          <a:avLst/>
        </a:prstGeom>
      </xdr:spPr>
    </xdr:pic>
    <xdr:clientData/>
  </xdr:twoCellAnchor>
  <xdr:twoCellAnchor editAs="oneCell">
    <xdr:from>
      <xdr:col>0</xdr:col>
      <xdr:colOff>628650</xdr:colOff>
      <xdr:row>30</xdr:row>
      <xdr:rowOff>156314</xdr:rowOff>
    </xdr:from>
    <xdr:to>
      <xdr:col>13</xdr:col>
      <xdr:colOff>304376</xdr:colOff>
      <xdr:row>56</xdr:row>
      <xdr:rowOff>38099</xdr:rowOff>
    </xdr:to>
    <xdr:pic>
      <xdr:nvPicPr>
        <xdr:cNvPr id="14" name="图片 13"/>
        <xdr:cNvPicPr>
          <a:picLocks noChangeAspect="1"/>
        </xdr:cNvPicPr>
      </xdr:nvPicPr>
      <xdr:blipFill>
        <a:blip xmlns:r="http://schemas.openxmlformats.org/officeDocument/2006/relationships" r:embed="rId5"/>
        <a:stretch>
          <a:fillRect/>
        </a:stretch>
      </xdr:blipFill>
      <xdr:spPr>
        <a:xfrm>
          <a:off x="628650" y="5299814"/>
          <a:ext cx="8591126" cy="43394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出让国有建设用地使用权及在建建筑物房地产市场价值预评估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估价对象为出让国有建设用地使用权及在建建筑物房地产，为所有。根据《国有土地使用证》[]，估价对象（分摊）出让国有建设用地使用权面积为95.61平方米，建筑面积为2215.16平方米。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办公项目，该项目尚在开发建设中。根据《国有土地使用证》[]，估价对象（分摊）出让国有建设用地使用权面积为95.61平方米，规划建筑面积为2215.16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2019年7月10日（评估专业人员实地查勘之日）</v>
      </c>
    </row>
    <row r="13" spans="1:2" s="1591" customFormat="1">
      <c r="A13" s="1589" t="s">
        <v>1223</v>
      </c>
      <c r="B13" s="1590" t="str">
        <f>'预评函-1'!A18</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2580</v>
      </c>
    </row>
    <row r="21" spans="1:2" s="1591" customFormat="1">
      <c r="A21" s="1589" t="s">
        <v>1231</v>
      </c>
      <c r="B21" s="1590">
        <f ca="1">'预评函-2'!D7</f>
        <v>11647</v>
      </c>
    </row>
    <row r="22" spans="1:2" s="1591" customFormat="1">
      <c r="A22" s="1589" t="s">
        <v>1232</v>
      </c>
      <c r="B22" s="1590" t="str">
        <f ca="1">'预评函-2'!D6</f>
        <v>贰仟伍佰捌拾万元整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2580</v>
      </c>
    </row>
    <row r="31" spans="1:2" s="1591" customFormat="1">
      <c r="A31" s="1589" t="s">
        <v>1270</v>
      </c>
      <c r="B31" s="1590">
        <f ca="1">'预评函-2'!D15</f>
        <v>11647</v>
      </c>
    </row>
    <row r="32" spans="1:2" s="1591" customFormat="1">
      <c r="A32" s="1589" t="s">
        <v>1237</v>
      </c>
      <c r="B32" s="1590" t="str">
        <f ca="1">'预评函-2'!D14</f>
        <v>贰仟伍佰捌拾万元整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2215.16</v>
      </c>
    </row>
    <row r="44" spans="1:2" s="1591" customFormat="1">
      <c r="A44" s="1589" t="s">
        <v>1269</v>
      </c>
      <c r="B44" s="1590" t="str">
        <f>'预评函-3'!C2</f>
        <v>(分摊)土地面积</v>
      </c>
    </row>
    <row r="45" spans="1:2" s="1591" customFormat="1">
      <c r="A45" s="1589" t="s">
        <v>1241</v>
      </c>
      <c r="B45" s="1590">
        <f>'预评函-3'!C4</f>
        <v>95.610000000000014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3079</v>
      </c>
      <c r="C17" s="2013"/>
    </row>
    <row r="18" spans="1:3">
      <c r="A18" s="2012" t="s">
        <v>1762</v>
      </c>
      <c r="B18" s="2012" t="s">
        <v>3103</v>
      </c>
      <c r="C18" s="2013"/>
    </row>
    <row r="19" spans="1:3">
      <c r="A19" s="2012" t="s">
        <v>1763</v>
      </c>
      <c r="B19" s="2012" t="s">
        <v>3112</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0" t="s">
        <v>861</v>
      </c>
      <c r="C54" s="2017" t="s">
        <v>1277</v>
      </c>
    </row>
    <row r="55" spans="1:4">
      <c r="A55" s="3028"/>
      <c r="B55" s="2020" t="s">
        <v>862</v>
      </c>
      <c r="C55" s="2017" t="s">
        <v>1278</v>
      </c>
    </row>
    <row r="56" spans="1:4">
      <c r="A56" s="3028"/>
      <c r="B56" s="2020" t="s">
        <v>863</v>
      </c>
      <c r="C56" s="2017" t="s">
        <v>1282</v>
      </c>
    </row>
    <row r="57" spans="1:4">
      <c r="A57" s="302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29" t="str">
        <f>IF(B10="北京市","北京市",C10)&amp;F10&amp;IF(结果表!G1="在建","出让国有建设用地使用权及在建建筑物",IF(结果表!G1="土地","出让国有建设用地使用权",))&amp;B9&amp;"预评估"</f>
        <v>出让国有建设用地使用权及在建建筑物房地产市场价值预评估</v>
      </c>
      <c r="C1" s="3030"/>
      <c r="D1" s="3030"/>
      <c r="E1" s="3030"/>
      <c r="F1" s="3030"/>
      <c r="G1" s="3030"/>
      <c r="H1" s="3030"/>
      <c r="I1" s="303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v>43656</v>
      </c>
      <c r="C3" s="2035" t="s">
        <v>1774</v>
      </c>
      <c r="D3" s="2034">
        <f>B3</f>
        <v>43656</v>
      </c>
      <c r="E3" s="2024"/>
      <c r="F3" s="2024"/>
      <c r="G3" s="2024"/>
      <c r="H3" s="2024"/>
      <c r="I3" s="2024"/>
      <c r="J3" s="2024"/>
      <c r="K3" s="2025"/>
      <c r="L3" s="2026"/>
      <c r="M3" s="2026"/>
      <c r="N3" s="2027"/>
      <c r="O3" s="2028"/>
      <c r="P3" s="2027"/>
      <c r="Q3" s="2027"/>
      <c r="R3" s="2027"/>
      <c r="S3" s="2029"/>
    </row>
    <row r="4" spans="1:19" ht="18" customHeight="1" thickBot="1">
      <c r="A4" s="2036" t="s">
        <v>1775</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3121</v>
      </c>
      <c r="C8" s="2054"/>
      <c r="D8" s="3032" t="s">
        <v>1780</v>
      </c>
      <c r="E8" s="2055"/>
      <c r="F8" s="2056"/>
      <c r="G8" s="2024"/>
      <c r="H8" s="2024"/>
      <c r="I8" s="2024"/>
      <c r="J8" s="2040"/>
      <c r="K8" s="2041"/>
      <c r="L8" s="2026"/>
      <c r="M8" s="2026"/>
      <c r="N8" s="2027"/>
      <c r="O8" s="2028"/>
      <c r="P8" s="2027"/>
      <c r="Q8" s="2027"/>
      <c r="R8" s="2027"/>
    </row>
    <row r="9" spans="1:19" ht="18" customHeight="1" thickBot="1">
      <c r="A9" s="2038" t="s">
        <v>1781</v>
      </c>
      <c r="B9" s="2057" t="s">
        <v>3122</v>
      </c>
      <c r="C9" s="2058"/>
      <c r="D9" s="3033"/>
      <c r="E9" s="2057" t="s">
        <v>70</v>
      </c>
      <c r="F9" s="2059"/>
      <c r="G9" s="2060"/>
      <c r="H9" s="2060"/>
      <c r="I9" s="2060"/>
      <c r="J9" s="2040"/>
      <c r="K9" s="2052"/>
      <c r="L9" s="2026"/>
      <c r="M9" s="2026"/>
      <c r="N9" s="2027"/>
      <c r="O9" s="2028"/>
      <c r="P9" s="2027"/>
      <c r="Q9" s="2027"/>
      <c r="R9" s="2027"/>
    </row>
    <row r="10" spans="1:19" ht="18" customHeight="1" thickTop="1">
      <c r="A10" s="2061" t="s">
        <v>1782</v>
      </c>
      <c r="B10" s="2062" t="s">
        <v>3113</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3054</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3055</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53562</v>
      </c>
      <c r="F13" s="2078"/>
      <c r="G13" s="2078"/>
      <c r="H13" s="2078"/>
      <c r="I13" s="1045"/>
      <c r="J13" s="2040"/>
      <c r="K13" s="2052"/>
      <c r="L13" s="2026"/>
      <c r="M13" s="2026"/>
      <c r="N13" s="2027"/>
      <c r="O13" s="2028"/>
      <c r="P13" s="2027"/>
      <c r="Q13" s="2027"/>
      <c r="R13" s="2027"/>
    </row>
    <row r="14" spans="1:19" ht="18" customHeight="1">
      <c r="A14" s="2075"/>
      <c r="B14" s="2076"/>
      <c r="C14" s="2077" t="s">
        <v>1794</v>
      </c>
      <c r="D14" s="1048"/>
      <c r="E14" s="1048">
        <v>40</v>
      </c>
      <c r="F14" s="1048"/>
      <c r="G14" s="1048"/>
      <c r="H14" s="1048"/>
      <c r="I14" s="1048"/>
      <c r="J14" s="2040"/>
      <c r="K14" s="2079"/>
      <c r="L14" s="2026"/>
      <c r="M14" s="2026"/>
      <c r="N14" s="2027"/>
      <c r="O14" s="2028"/>
      <c r="P14" s="2027"/>
      <c r="Q14" s="2027"/>
      <c r="R14" s="2027"/>
    </row>
    <row r="15" spans="1:19" ht="18" customHeight="1">
      <c r="A15" s="2061"/>
      <c r="B15" s="2080"/>
      <c r="C15" s="2077" t="s">
        <v>1795</v>
      </c>
      <c r="D15" s="1047" t="str">
        <f>IF(B12="出让",IF(D13="","",ROUNDDOWN(MIN((D13-$D$3)/365,D14),2)),D14)</f>
        <v/>
      </c>
      <c r="E15" s="1047">
        <f>IF(B12="出让",IF(E13="","",ROUNDDOWN(MIN((E13-$D$3)/365,E14),2)),E14)</f>
        <v>27.13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1796</v>
      </c>
      <c r="B16" s="3039"/>
      <c r="C16" s="3040"/>
      <c r="D16" s="3041"/>
      <c r="E16" s="2084" t="s">
        <v>1797</v>
      </c>
      <c r="F16" s="3042"/>
      <c r="G16" s="3043"/>
      <c r="H16" s="3043"/>
      <c r="I16" s="3044"/>
      <c r="J16" s="2027"/>
      <c r="K16" s="2081"/>
      <c r="L16" s="2082"/>
      <c r="M16" s="2082"/>
      <c r="N16" s="2083"/>
      <c r="O16" s="2082"/>
      <c r="P16" s="2083"/>
      <c r="Q16" s="2027"/>
      <c r="R16" s="2027"/>
    </row>
    <row r="17" spans="1:22" ht="18" customHeight="1">
      <c r="A17" s="2085" t="s">
        <v>1798</v>
      </c>
      <c r="B17" s="2033" t="s">
        <v>1799</v>
      </c>
      <c r="C17" s="1052">
        <f>'数据-汇总表'!E3</f>
        <v>2215.16</v>
      </c>
      <c r="D17" s="2086" t="s">
        <v>1800</v>
      </c>
      <c r="E17" s="3045" t="s">
        <v>1801</v>
      </c>
      <c r="F17" s="3046"/>
      <c r="G17" s="3046"/>
      <c r="H17" s="3046"/>
      <c r="I17" s="3047"/>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2">
        <f>'数据-汇总表'!D3</f>
        <v>95.610000000000014</v>
      </c>
      <c r="D18" s="2089" t="s">
        <v>1800</v>
      </c>
      <c r="E18" s="3048" t="s">
        <v>1804</v>
      </c>
      <c r="F18" s="3049"/>
      <c r="G18" s="3049"/>
      <c r="H18" s="3049"/>
      <c r="I18" s="3050"/>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5" t="s">
        <v>1809</v>
      </c>
      <c r="C20" s="3036"/>
      <c r="D20" s="3037" t="s">
        <v>1810</v>
      </c>
      <c r="E20" s="3038"/>
      <c r="F20" s="2096" t="s">
        <v>1811</v>
      </c>
      <c r="G20" s="2040"/>
      <c r="H20" s="2040"/>
      <c r="I20" s="2040"/>
      <c r="J20" s="2040"/>
      <c r="K20" s="3034"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2" t="s">
        <v>1824</v>
      </c>
      <c r="B27" s="2061" t="s">
        <v>1825</v>
      </c>
      <c r="C27" s="2118" t="s">
        <v>3123</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2"/>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2"/>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3"/>
      <c r="B30" s="2033" t="s">
        <v>1828</v>
      </c>
      <c r="C30" s="3054"/>
      <c r="D30" s="305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6"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3">
        <f>COUNTIF(B34:H34,"——")</f>
        <v>0</v>
      </c>
      <c r="L34" s="2073" t="s">
        <v>1831</v>
      </c>
      <c r="M34" s="2073" t="s">
        <v>1832</v>
      </c>
      <c r="N34" s="2073" t="s">
        <v>1833</v>
      </c>
      <c r="O34" s="2073" t="s">
        <v>1834</v>
      </c>
      <c r="P34" s="2073" t="s">
        <v>1835</v>
      </c>
      <c r="Q34" s="2073" t="s">
        <v>1836</v>
      </c>
      <c r="R34" s="2073" t="s">
        <v>1837</v>
      </c>
      <c r="S34" s="3051" t="s">
        <v>1838</v>
      </c>
      <c r="T34" s="2133" t="str">
        <f>NUMBERSTRING(7-K34,1)&amp;"通"</f>
        <v>七通</v>
      </c>
      <c r="U34" s="2027"/>
      <c r="V34" s="2027"/>
    </row>
    <row r="35" spans="1:22" ht="18" customHeight="1">
      <c r="A35" s="2134"/>
      <c r="B35" s="3058" t="s">
        <v>1839</v>
      </c>
      <c r="C35" s="3058"/>
      <c r="D35" s="3058"/>
      <c r="E35" s="3058"/>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t="s">
        <v>269</v>
      </c>
      <c r="D37" s="2139" t="s">
        <v>269</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t="s">
        <v>343</v>
      </c>
      <c r="D38" s="2141" t="s">
        <v>343</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3" t="s">
        <v>1849</v>
      </c>
      <c r="C42" s="1793" t="s">
        <v>1850</v>
      </c>
      <c r="D42" s="1793" t="s">
        <v>1851</v>
      </c>
      <c r="E42" s="1793" t="s">
        <v>1852</v>
      </c>
      <c r="F42" s="1793" t="s">
        <v>1853</v>
      </c>
      <c r="G42" s="1793" t="s">
        <v>1854</v>
      </c>
      <c r="H42" s="1793" t="s">
        <v>1855</v>
      </c>
      <c r="I42" s="1793" t="s">
        <v>1856</v>
      </c>
      <c r="J42" s="2151" t="s">
        <v>1857</v>
      </c>
      <c r="K42" s="2074" t="s">
        <v>1858</v>
      </c>
      <c r="L42" s="2074" t="s">
        <v>1859</v>
      </c>
      <c r="M42" s="2074" t="s">
        <v>1860</v>
      </c>
      <c r="N42" s="1793" t="s">
        <v>1861</v>
      </c>
      <c r="O42" s="1793" t="s">
        <v>1862</v>
      </c>
      <c r="P42" s="1793" t="s">
        <v>1863</v>
      </c>
      <c r="Q42" s="2073" t="s">
        <v>1864</v>
      </c>
      <c r="R42" s="2073" t="s">
        <v>1865</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1871</v>
      </c>
      <c r="AZ2" s="1268"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3317"/>
      <c r="B3" s="13">
        <f>IF(C3="否",G5-AT5,G5)</f>
        <v>2215.16</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f>12.79+6.87+13.32+14.46+13.5+6.87+13.34+14.46</f>
        <v>95.610000000000014</v>
      </c>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1"/>
      <c r="C5" s="1801"/>
      <c r="D5" s="1804"/>
      <c r="E5" s="15" t="s">
        <v>1</v>
      </c>
      <c r="F5" s="15">
        <f>SUM(F13:F587)</f>
        <v>0</v>
      </c>
      <c r="G5" s="15">
        <f>SUM(G13:G587)</f>
        <v>2215.16</v>
      </c>
      <c r="H5" s="15">
        <f t="shared" ref="H5:AT5" si="0">SUM(H13:H656)</f>
        <v>2215.16</v>
      </c>
      <c r="I5" s="15">
        <f t="shared" si="0"/>
        <v>2215.16</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1875</v>
      </c>
      <c r="AW5" s="1801"/>
      <c r="AX5" s="1801"/>
      <c r="AY5" s="16" t="s">
        <v>3</v>
      </c>
      <c r="AZ5" s="17">
        <f t="shared" ref="AZ5:BT5" si="1">SUM(AZ13:AZ656)</f>
        <v>2215.16</v>
      </c>
      <c r="BA5" s="17">
        <f t="shared" si="1"/>
        <v>2215.16</v>
      </c>
      <c r="BB5" s="17">
        <f t="shared" si="1"/>
        <v>2215.16</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95.610000000000014</v>
      </c>
      <c r="AZ6" s="15" t="s">
        <v>3</v>
      </c>
      <c r="BA6" s="15">
        <f>ROUND($AY$6*BA5/$AZ$5,2)</f>
        <v>95.61</v>
      </c>
      <c r="BB6" s="15">
        <f>ROUND($AY$6*BB5/$AZ$5,2)</f>
        <v>95.61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1884</v>
      </c>
      <c r="AV7" s="22" t="s">
        <v>1885</v>
      </c>
      <c r="AW7" s="2165" t="s">
        <v>1886</v>
      </c>
      <c r="AX7" s="22" t="s">
        <v>1879</v>
      </c>
      <c r="AY7" s="1801"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6"/>
      <c r="K8" s="1816"/>
      <c r="L8" s="1816"/>
      <c r="M8" s="1816"/>
      <c r="N8" s="1816"/>
      <c r="O8" s="1816"/>
      <c r="P8" s="1816"/>
      <c r="Q8" s="1816"/>
      <c r="R8" s="1816"/>
      <c r="S8" s="1816"/>
      <c r="T8" s="1816"/>
      <c r="U8" s="1816"/>
      <c r="V8" s="2185"/>
      <c r="W8" s="1816"/>
      <c r="X8" s="1816"/>
      <c r="Y8" s="1816"/>
      <c r="Z8" s="1816"/>
      <c r="AA8" s="2185"/>
      <c r="AB8" s="2186"/>
      <c r="AC8" s="979" t="s">
        <v>1890</v>
      </c>
      <c r="AD8" s="2187"/>
      <c r="AE8" s="2179"/>
      <c r="AF8" s="1816"/>
      <c r="AG8" s="1816"/>
      <c r="AH8" s="1816"/>
      <c r="AI8" s="1816"/>
      <c r="AJ8" s="1816"/>
      <c r="AK8" s="1816"/>
      <c r="AL8" s="1816"/>
      <c r="AM8" s="1816"/>
      <c r="AN8" s="1816"/>
      <c r="AO8" s="1816"/>
      <c r="AP8" s="1816"/>
      <c r="AQ8" s="1816"/>
      <c r="AR8" s="1816"/>
      <c r="AS8" s="1816"/>
      <c r="AT8" s="1290" t="s">
        <v>1891</v>
      </c>
      <c r="AU8" s="2181" t="s">
        <v>1892</v>
      </c>
      <c r="AV8" s="1290"/>
      <c r="AW8" s="2164"/>
      <c r="AX8" s="1290"/>
      <c r="AY8" s="2165"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1895</v>
      </c>
      <c r="I9" s="2190" t="s">
        <v>3057</v>
      </c>
      <c r="J9" s="979"/>
      <c r="K9" s="2190" t="s">
        <v>3057</v>
      </c>
      <c r="L9" s="979"/>
      <c r="M9" s="2190"/>
      <c r="N9" s="979"/>
      <c r="O9" s="2190"/>
      <c r="P9" s="979"/>
      <c r="Q9" s="2190"/>
      <c r="R9" s="979"/>
      <c r="S9" s="2190"/>
      <c r="T9" s="979"/>
      <c r="U9" s="2190"/>
      <c r="V9" s="979"/>
      <c r="W9" s="2190"/>
      <c r="X9" s="2191"/>
      <c r="Y9" s="2190"/>
      <c r="Z9" s="979"/>
      <c r="AA9" s="2190"/>
      <c r="AB9" s="979"/>
      <c r="AC9" s="2182" t="s">
        <v>1895</v>
      </c>
      <c r="AD9" s="14" t="s">
        <v>1896</v>
      </c>
      <c r="AE9" s="1296"/>
      <c r="AF9" s="14" t="s">
        <v>1897</v>
      </c>
      <c r="AG9" s="1296"/>
      <c r="AH9" s="14" t="s">
        <v>1896</v>
      </c>
      <c r="AI9" s="1296"/>
      <c r="AJ9" s="14" t="s">
        <v>1897</v>
      </c>
      <c r="AK9" s="1296"/>
      <c r="AL9" s="14" t="s">
        <v>1896</v>
      </c>
      <c r="AM9" s="1296"/>
      <c r="AN9" s="14" t="s">
        <v>1897</v>
      </c>
      <c r="AO9" s="1296"/>
      <c r="AP9" s="14" t="s">
        <v>1896</v>
      </c>
      <c r="AQ9" s="1296"/>
      <c r="AR9" s="14" t="s">
        <v>1897</v>
      </c>
      <c r="AS9" s="2192"/>
      <c r="AT9" s="2181"/>
      <c r="AU9" s="2181" t="s">
        <v>1898</v>
      </c>
      <c r="AV9" s="1290"/>
      <c r="AW9" s="2164"/>
      <c r="AX9" s="1290"/>
      <c r="AY9" s="27"/>
      <c r="AZ9" s="27" t="s">
        <v>1888</v>
      </c>
      <c r="BA9" s="2193" t="s">
        <v>1899</v>
      </c>
      <c r="BB9" s="2194"/>
      <c r="BC9" s="1336"/>
      <c r="BD9" s="1336"/>
      <c r="BE9" s="1336"/>
      <c r="BF9" s="1336"/>
      <c r="BG9" s="1336"/>
      <c r="BH9" s="1336"/>
      <c r="BI9" s="1336"/>
      <c r="BJ9" s="1336"/>
      <c r="BK9" s="2195"/>
      <c r="BL9" s="14" t="s">
        <v>1900</v>
      </c>
      <c r="BM9" s="1816"/>
      <c r="BN9" s="2184"/>
      <c r="BO9" s="1816"/>
      <c r="BP9" s="1816"/>
      <c r="BQ9" s="1816"/>
      <c r="BR9" s="1816"/>
      <c r="BS9" s="1816"/>
      <c r="BT9" s="25"/>
    </row>
    <row r="10" spans="1:72" s="2188" customFormat="1" ht="12.75">
      <c r="A10" s="2181"/>
      <c r="B10" s="2181"/>
      <c r="C10" s="2181"/>
      <c r="D10" s="2181"/>
      <c r="E10" s="2181"/>
      <c r="F10" s="2181"/>
      <c r="G10" s="1290"/>
      <c r="H10" s="27"/>
      <c r="I10" s="2190" t="s">
        <v>1373</v>
      </c>
      <c r="J10" s="979"/>
      <c r="K10" s="2196" t="s">
        <v>3058</v>
      </c>
      <c r="L10" s="979"/>
      <c r="M10" s="2196"/>
      <c r="N10" s="979"/>
      <c r="O10" s="2196"/>
      <c r="P10" s="979"/>
      <c r="Q10" s="2196"/>
      <c r="R10" s="979"/>
      <c r="S10" s="2196"/>
      <c r="T10" s="979"/>
      <c r="U10" s="2196"/>
      <c r="V10" s="979"/>
      <c r="W10" s="2196"/>
      <c r="X10" s="979"/>
      <c r="Y10" s="2196"/>
      <c r="Z10" s="979"/>
      <c r="AA10" s="2196"/>
      <c r="AB10" s="979"/>
      <c r="AC10" s="1290"/>
      <c r="AD10" s="14" t="s">
        <v>1901</v>
      </c>
      <c r="AE10" s="2197"/>
      <c r="AF10" s="14" t="s">
        <v>1901</v>
      </c>
      <c r="AG10" s="2197"/>
      <c r="AH10" s="14" t="s">
        <v>1902</v>
      </c>
      <c r="AI10" s="2197"/>
      <c r="AJ10" s="14" t="s">
        <v>1902</v>
      </c>
      <c r="AK10" s="2197"/>
      <c r="AL10" s="14" t="s">
        <v>1903</v>
      </c>
      <c r="AM10" s="1296"/>
      <c r="AN10" s="14" t="s">
        <v>1903</v>
      </c>
      <c r="AO10" s="1296"/>
      <c r="AP10" s="14" t="s">
        <v>1904</v>
      </c>
      <c r="AQ10" s="1296"/>
      <c r="AR10" s="14" t="s">
        <v>1904</v>
      </c>
      <c r="AS10" s="1296"/>
      <c r="AT10" s="2181"/>
      <c r="AU10" s="2181"/>
      <c r="AV10" s="1290"/>
      <c r="AW10" s="2164"/>
      <c r="AX10" s="1290"/>
      <c r="AY10" s="27"/>
      <c r="AZ10" s="27"/>
      <c r="BA10" s="2198" t="s">
        <v>1895</v>
      </c>
      <c r="BB10" s="2199" t="str">
        <f>I9</f>
        <v>地上</v>
      </c>
      <c r="BC10" s="28" t="str">
        <f>K9</f>
        <v>地上</v>
      </c>
      <c r="BD10" s="28">
        <f>M9</f>
        <v>0</v>
      </c>
      <c r="BE10" s="28">
        <f>O9</f>
        <v>0</v>
      </c>
      <c r="BF10" s="28">
        <f>Q9</f>
        <v>0</v>
      </c>
      <c r="BG10" s="28">
        <f>S9</f>
        <v>0</v>
      </c>
      <c r="BH10" s="28">
        <f>U9</f>
        <v>0</v>
      </c>
      <c r="BI10" s="28">
        <f>W9</f>
        <v>0</v>
      </c>
      <c r="BJ10" s="28">
        <f>Y9</f>
        <v>0</v>
      </c>
      <c r="BK10" s="28">
        <f>AA9</f>
        <v>0</v>
      </c>
      <c r="BL10" s="24" t="s">
        <v>1895</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1905</v>
      </c>
      <c r="AE11" s="1817"/>
      <c r="AF11" s="2203" t="s">
        <v>1905</v>
      </c>
      <c r="AG11" s="1817"/>
      <c r="AH11" s="2203" t="s">
        <v>1906</v>
      </c>
      <c r="AI11" s="2204"/>
      <c r="AJ11" s="2203" t="s">
        <v>1906</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住宅</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8"/>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3.5">
      <c r="A13" s="1270"/>
      <c r="B13" s="1270"/>
      <c r="C13" s="1270">
        <v>2301</v>
      </c>
      <c r="D13" s="2212" t="s">
        <v>3056</v>
      </c>
      <c r="E13" s="15">
        <f>IF($C$3="是",ROUND($A$3*G13/$B$3,2),ROUND($A$3*(G13-AT13)/$B$3,2))</f>
        <v>0</v>
      </c>
      <c r="F13" s="31"/>
      <c r="G13" s="32">
        <f>H13+AC13+AT13</f>
        <v>296.32</v>
      </c>
      <c r="H13" s="19">
        <f>SUMIF(I$12:AB$12,"总值",I13:AB13)</f>
        <v>296.32</v>
      </c>
      <c r="I13" s="2972">
        <v>296.32</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2301</v>
      </c>
      <c r="AY13" s="1804">
        <f>ROUND($AY$6*AZ13/$AZ$5,2)</f>
        <v>12.79</v>
      </c>
      <c r="AZ13" s="15">
        <f>BA13+BL13</f>
        <v>296.32</v>
      </c>
      <c r="BA13" s="15">
        <f>SUM(BB13:BK13)</f>
        <v>296.32</v>
      </c>
      <c r="BB13" s="15">
        <f>IF($D13="是",I13-J13,0)</f>
        <v>296.32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3.5">
      <c r="A14" s="1270"/>
      <c r="B14" s="1270"/>
      <c r="C14" s="2152">
        <v>2302</v>
      </c>
      <c r="D14" s="2212" t="s">
        <v>3056</v>
      </c>
      <c r="E14" s="15">
        <f>IF($C$3="是",ROUND($A$3*G14/$B$3,2),ROUND($A$3*(G14-AT14)/$B$3,2))</f>
        <v>0</v>
      </c>
      <c r="F14" s="31"/>
      <c r="G14" s="32">
        <f>H14+AC14+AT14</f>
        <v>159.13</v>
      </c>
      <c r="H14" s="19">
        <f>SUMIF(I$12:AB$12,"总值",I14:AB14)</f>
        <v>159.13</v>
      </c>
      <c r="I14" s="2972">
        <v>159.13</v>
      </c>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2302</v>
      </c>
      <c r="AY14" s="1804">
        <f>ROUND($AY$6*AZ14/$AZ$5,2)</f>
        <v>6.87</v>
      </c>
      <c r="AZ14" s="15">
        <f>BA14+BL14</f>
        <v>159.13</v>
      </c>
      <c r="BA14" s="15">
        <f>SUM(BB14:BK14)</f>
        <v>159.13</v>
      </c>
      <c r="BB14" s="15">
        <f>IF($D14="是",I14-J14,0)</f>
        <v>159.13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3.5">
      <c r="A15" s="1270"/>
      <c r="B15" s="1270"/>
      <c r="C15" s="1270">
        <v>2303</v>
      </c>
      <c r="D15" s="2212" t="s">
        <v>3056</v>
      </c>
      <c r="E15" s="15">
        <f>IF($C$3="是",ROUND($A$3*G15/$B$3,2),ROUND($A$3*(G15-AT15)/$B$3,2))</f>
        <v>0</v>
      </c>
      <c r="F15" s="31"/>
      <c r="G15" s="32">
        <f>H15+AC15+AT15</f>
        <v>308.7</v>
      </c>
      <c r="H15" s="19">
        <f>SUMIF(I$12:AB$12,"总值",I15:AB15)</f>
        <v>308.7</v>
      </c>
      <c r="I15" s="2972">
        <v>308.7</v>
      </c>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2303</v>
      </c>
      <c r="AY15" s="1804">
        <f>ROUND($AY$6*AZ15/$AZ$5,2)</f>
        <v>13.32</v>
      </c>
      <c r="AZ15" s="15">
        <f>BA15+BL15</f>
        <v>308.7</v>
      </c>
      <c r="BA15" s="15">
        <f>SUM(BB15:BK15)</f>
        <v>308.7</v>
      </c>
      <c r="BB15" s="15">
        <f>IF($D15="是",I15-J15,0)</f>
        <v>308.7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3.5">
      <c r="A16" s="1270"/>
      <c r="B16" s="1270"/>
      <c r="C16" s="2152">
        <v>2304</v>
      </c>
      <c r="D16" s="2212" t="s">
        <v>3056</v>
      </c>
      <c r="E16" s="15">
        <f>IF($C$3="是",ROUND($A$3*G16/$B$3,2),ROUND($A$3*(G16-AT16)/$B$3,2))</f>
        <v>0</v>
      </c>
      <c r="F16" s="31"/>
      <c r="G16" s="32">
        <f>H16+AC16+AT16</f>
        <v>334.91</v>
      </c>
      <c r="H16" s="19">
        <f>SUMIF(I$12:AB$12,"总值",I16:AB16)</f>
        <v>334.91</v>
      </c>
      <c r="I16" s="2972">
        <v>334.91</v>
      </c>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2304</v>
      </c>
      <c r="AY16" s="1804">
        <f>ROUND($AY$6*AZ16/$AZ$5,2)</f>
        <v>14.46</v>
      </c>
      <c r="AZ16" s="15">
        <f>BA16+BL16</f>
        <v>334.91</v>
      </c>
      <c r="BA16" s="15">
        <f>SUM(BB16:BK16)</f>
        <v>334.91</v>
      </c>
      <c r="BB16" s="15">
        <f>IF($D16="是",I16-J16,0)</f>
        <v>334.91</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3.5">
      <c r="A17" s="1270"/>
      <c r="B17" s="1270"/>
      <c r="C17" s="1270">
        <v>2305</v>
      </c>
      <c r="D17" s="2212" t="s">
        <v>3056</v>
      </c>
      <c r="E17" s="15">
        <f>IF($C$3="是",ROUND($A$3*G17/$B$3,2),ROUND($A$3*(G17-AT17)/$B$3,2))</f>
        <v>0</v>
      </c>
      <c r="F17" s="31"/>
      <c r="G17" s="32">
        <f>H17+AC17+AT17</f>
        <v>312.8</v>
      </c>
      <c r="H17" s="19">
        <f>SUMIF(I$12:AB$12,"总值",I17:AB17)</f>
        <v>312.8</v>
      </c>
      <c r="I17" s="2973">
        <v>312.8</v>
      </c>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2305</v>
      </c>
      <c r="AY17" s="1804">
        <f>ROUND($AY$6*AZ17/$AZ$5,2)</f>
        <v>13.5</v>
      </c>
      <c r="AZ17" s="15">
        <f>BA17+BL17</f>
        <v>312.8</v>
      </c>
      <c r="BA17" s="15">
        <f>SUM(BB17:BK17)</f>
        <v>312.8</v>
      </c>
      <c r="BB17" s="15">
        <f>IF($D17="是",I17-J17,0)</f>
        <v>312.8</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152">
        <v>2306</v>
      </c>
      <c r="D18" s="2212" t="s">
        <v>3056</v>
      </c>
      <c r="E18" s="34">
        <f t="shared" ref="E18:E112" si="7">IF($C$3="是",ROUND($A$3*G18/$B$3,2),ROUND($A$3*(G18-AT18)/$B$3,2))</f>
        <v>0</v>
      </c>
      <c r="F18" s="35"/>
      <c r="G18" s="36">
        <f t="shared" ref="G18:G109" si="8">H18+AC18+AT18</f>
        <v>159.13</v>
      </c>
      <c r="H18" s="37">
        <f t="shared" ref="H18:H109" si="9">SUMIF(I$12:AB$12,"总值",I18:AB18)</f>
        <v>159.13</v>
      </c>
      <c r="I18" s="38">
        <v>159.13</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f t="shared" ref="AX18:AX112" si="13">C18</f>
        <v>2306</v>
      </c>
      <c r="AY18" s="41">
        <f t="shared" ref="AY18:AY109" si="14">ROUND($AY$6*AZ18/$AZ$5,2)</f>
        <v>6.87</v>
      </c>
      <c r="AZ18" s="34">
        <f t="shared" ref="AZ18:AZ109" si="15">BA18+BL18</f>
        <v>159.13</v>
      </c>
      <c r="BA18" s="34">
        <f t="shared" ref="BA18:BA109" si="16">SUM(BB18:BK18)</f>
        <v>159.13</v>
      </c>
      <c r="BB18" s="34">
        <f t="shared" ref="BB18:BB109" si="17">IF($D18="是",I18-J18,0)</f>
        <v>159.13</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0">
        <v>2307</v>
      </c>
      <c r="D19" s="2217" t="s">
        <v>3056</v>
      </c>
      <c r="E19" s="34">
        <f t="shared" si="7"/>
        <v>0</v>
      </c>
      <c r="F19" s="35"/>
      <c r="G19" s="36">
        <f t="shared" si="8"/>
        <v>309.19</v>
      </c>
      <c r="H19" s="37">
        <f t="shared" si="9"/>
        <v>309.19</v>
      </c>
      <c r="I19" s="38">
        <v>309.19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f t="shared" si="13"/>
        <v>2307</v>
      </c>
      <c r="AY19" s="41">
        <f t="shared" si="14"/>
        <v>13.35</v>
      </c>
      <c r="AZ19" s="34">
        <f t="shared" si="15"/>
        <v>309.19</v>
      </c>
      <c r="BA19" s="34">
        <f t="shared" si="16"/>
        <v>309.19</v>
      </c>
      <c r="BB19" s="34">
        <f t="shared" si="17"/>
        <v>309.19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2152">
        <v>2308</v>
      </c>
      <c r="D20" s="2217" t="s">
        <v>3056</v>
      </c>
      <c r="E20" s="34">
        <f t="shared" si="7"/>
        <v>0</v>
      </c>
      <c r="F20" s="35"/>
      <c r="G20" s="36">
        <f t="shared" si="8"/>
        <v>334.98</v>
      </c>
      <c r="H20" s="37">
        <f t="shared" si="9"/>
        <v>334.98</v>
      </c>
      <c r="I20" s="38">
        <v>334.98</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2308</v>
      </c>
      <c r="AY20" s="41">
        <f t="shared" si="14"/>
        <v>14.46</v>
      </c>
      <c r="AZ20" s="34">
        <f t="shared" si="15"/>
        <v>334.98</v>
      </c>
      <c r="BA20" s="34">
        <f t="shared" si="16"/>
        <v>334.98</v>
      </c>
      <c r="BB20" s="34">
        <f t="shared" si="17"/>
        <v>334.98</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0"/>
      <c r="C1" s="1390"/>
      <c r="D1" s="1390"/>
      <c r="E1" s="1390"/>
      <c r="F1" s="1390"/>
      <c r="G1" s="1390"/>
      <c r="H1" s="1390"/>
      <c r="I1" s="1390"/>
      <c r="J1" s="1390"/>
      <c r="K1" s="1390"/>
      <c r="L1" s="1390"/>
      <c r="M1" s="1390"/>
      <c r="N1" s="1390"/>
      <c r="O1" s="1390"/>
      <c r="P1" s="1390"/>
    </row>
    <row r="2" spans="1:16" ht="15">
      <c r="A2" s="3070" t="s">
        <v>1935</v>
      </c>
      <c r="B2" s="3070"/>
      <c r="C2" s="3070"/>
      <c r="D2" s="965" t="s">
        <v>1911</v>
      </c>
      <c r="E2" s="2226" t="s">
        <v>1912</v>
      </c>
      <c r="F2" s="1390"/>
      <c r="G2" s="2227"/>
      <c r="H2" s="2228"/>
      <c r="I2" s="2229" t="s">
        <v>1936</v>
      </c>
      <c r="J2" s="1390"/>
      <c r="K2" s="1390"/>
      <c r="L2" s="1390"/>
      <c r="M2" s="1390"/>
      <c r="N2" s="1425"/>
      <c r="O2" s="1390"/>
      <c r="P2" s="1390"/>
    </row>
    <row r="3" spans="1:16" ht="15.75" thickBot="1">
      <c r="A3" s="3071" t="s">
        <v>1909</v>
      </c>
      <c r="B3" s="3071"/>
      <c r="C3" s="3071"/>
      <c r="D3" s="45">
        <f>'数据-基础表'!AY6</f>
        <v>95.610000000000014</v>
      </c>
      <c r="E3" s="45">
        <f>'数据-基础表'!AZ5</f>
        <v>2215.16</v>
      </c>
      <c r="F3" s="1390"/>
      <c r="G3" s="1397"/>
      <c r="H3" s="1245" t="s">
        <v>1910</v>
      </c>
      <c r="I3" s="54" t="e">
        <f>ROUND('数据-基础表'!B3/'数据-基础表'!A3,2)</f>
        <v>#DIV/0!</v>
      </c>
      <c r="J3" s="1390"/>
      <c r="K3" s="1390"/>
      <c r="L3" s="1390"/>
      <c r="M3" s="1390"/>
      <c r="N3" s="1425"/>
      <c r="O3" s="1390"/>
      <c r="P3" s="1390"/>
    </row>
    <row r="4" spans="1:16" ht="15">
      <c r="A4" s="3072"/>
      <c r="B4" s="3073"/>
      <c r="C4" s="3074"/>
      <c r="D4" s="2230" t="s">
        <v>1911</v>
      </c>
      <c r="E4" s="2231" t="s">
        <v>1912</v>
      </c>
      <c r="F4" s="1390"/>
      <c r="G4" s="2232" t="s">
        <v>1937</v>
      </c>
      <c r="H4" s="1245" t="s">
        <v>1917</v>
      </c>
      <c r="I4" s="54" t="e">
        <f>ROUND(SUMIF('数据-基础表'!I9:AS9,"地上",'数据-基础表'!I5:AS5)/'数据-基础表'!A3,2)</f>
        <v>#DIV/0!</v>
      </c>
      <c r="J4" s="1390"/>
      <c r="K4" s="1390"/>
      <c r="L4" s="1390"/>
      <c r="M4" s="1390"/>
      <c r="N4" s="1425"/>
      <c r="O4" s="1390"/>
      <c r="P4" s="1390"/>
    </row>
    <row r="5" spans="1:16">
      <c r="A5" s="46" t="s">
        <v>1913</v>
      </c>
      <c r="B5" s="3075" t="s">
        <v>1914</v>
      </c>
      <c r="C5" s="3075"/>
      <c r="D5" s="47">
        <f>ROUND($D$3*E5/$E$3,2)</f>
        <v>0</v>
      </c>
      <c r="E5" s="48">
        <f>SUMIF('数据-基础表'!$11:$11,"住宅",'数据-基础表'!$5:$5)</f>
        <v>0</v>
      </c>
      <c r="F5" s="1390"/>
      <c r="G5" s="1397"/>
      <c r="H5" s="1245" t="s">
        <v>1910</v>
      </c>
      <c r="I5" s="54">
        <f>ROUND(E31/D31,2)</f>
        <v>23.17</v>
      </c>
      <c r="J5" s="1390"/>
      <c r="K5" s="1390"/>
      <c r="L5" s="1390"/>
      <c r="M5" s="1390"/>
      <c r="N5" s="1390"/>
      <c r="O5" s="1390"/>
      <c r="P5" s="1390"/>
    </row>
    <row r="6" spans="1:16" ht="15" thickBot="1">
      <c r="A6" s="2233"/>
      <c r="B6" s="3075" t="s">
        <v>1915</v>
      </c>
      <c r="C6" s="3075"/>
      <c r="D6" s="47">
        <f>ROUND($D$3*E6/$E$3,2)</f>
        <v>95.61</v>
      </c>
      <c r="E6" s="48">
        <f>E3-E5</f>
        <v>2215.16</v>
      </c>
      <c r="F6" s="1390"/>
      <c r="G6" s="2234" t="s">
        <v>1916</v>
      </c>
      <c r="H6" s="1397" t="s">
        <v>1917</v>
      </c>
      <c r="I6" s="937">
        <f>ROUND(F31/D31,2)</f>
        <v>23.17</v>
      </c>
      <c r="J6" s="1390"/>
      <c r="K6" s="1390"/>
      <c r="L6" s="1390"/>
      <c r="M6" s="1390"/>
      <c r="N6" s="1390"/>
      <c r="O6" s="1390"/>
      <c r="P6" s="1390"/>
    </row>
    <row r="7" spans="1:16" ht="15">
      <c r="A7" s="3067"/>
      <c r="B7" s="3068"/>
      <c r="C7" s="3069"/>
      <c r="D7" s="2230" t="s">
        <v>1911</v>
      </c>
      <c r="E7" s="2235" t="s">
        <v>1918</v>
      </c>
      <c r="F7" s="1390"/>
      <c r="G7" s="2227" t="s">
        <v>1919</v>
      </c>
      <c r="H7" s="63"/>
      <c r="I7" s="419"/>
      <c r="J7" s="1390"/>
      <c r="K7" s="1390"/>
      <c r="L7" s="1390"/>
      <c r="M7" s="1390"/>
      <c r="N7" s="1390"/>
      <c r="O7" s="1390"/>
      <c r="P7" s="1390"/>
    </row>
    <row r="8" spans="1:16">
      <c r="A8" s="46" t="s">
        <v>1920</v>
      </c>
      <c r="B8" s="49" t="s">
        <v>1921</v>
      </c>
      <c r="C8" s="47" t="s">
        <v>1922</v>
      </c>
      <c r="D8" s="47">
        <f t="shared" ref="D8:D15" si="0">ROUND($D$3*E8/$E$3,2)</f>
        <v>95.61</v>
      </c>
      <c r="E8" s="50">
        <f>SUMIF('数据-基础表'!BB10:BK10,"地上",'数据-基础表'!BB5:BK5)</f>
        <v>2215.16</v>
      </c>
      <c r="F8" s="1390"/>
      <c r="G8" s="2236"/>
      <c r="H8" s="2236"/>
      <c r="I8" s="1390"/>
      <c r="J8" s="1390"/>
      <c r="K8" s="1390"/>
      <c r="L8" s="1390"/>
      <c r="M8" s="1390"/>
      <c r="N8" s="1390"/>
      <c r="O8" s="1390"/>
      <c r="P8" s="1390"/>
    </row>
    <row r="9" spans="1:16">
      <c r="A9" s="2237"/>
      <c r="B9" s="2238"/>
      <c r="C9" s="47" t="s">
        <v>1923</v>
      </c>
      <c r="D9" s="47">
        <f t="shared" si="0"/>
        <v>0</v>
      </c>
      <c r="E9" s="51">
        <v>0</v>
      </c>
      <c r="F9" s="1390"/>
      <c r="G9" s="2236"/>
      <c r="H9" s="2236"/>
      <c r="I9" s="1390"/>
      <c r="J9" s="1390"/>
      <c r="K9" s="1390"/>
      <c r="L9" s="1390"/>
      <c r="M9" s="1390"/>
      <c r="N9" s="1390"/>
      <c r="O9" s="1390"/>
      <c r="P9" s="1390"/>
    </row>
    <row r="10" spans="1:16">
      <c r="A10" s="2237"/>
      <c r="B10" s="2238"/>
      <c r="C10" s="47" t="s">
        <v>1932</v>
      </c>
      <c r="D10" s="47">
        <f t="shared" si="0"/>
        <v>0</v>
      </c>
      <c r="E10" s="50">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7" t="s">
        <v>1924</v>
      </c>
      <c r="D11" s="47">
        <f t="shared" si="0"/>
        <v>0</v>
      </c>
      <c r="E11" s="50">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7" t="s">
        <v>1925</v>
      </c>
      <c r="D12" s="47">
        <f t="shared" si="0"/>
        <v>0</v>
      </c>
      <c r="E12" s="50">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7" t="s">
        <v>1926</v>
      </c>
      <c r="D13" s="47">
        <f t="shared" si="0"/>
        <v>0</v>
      </c>
      <c r="E13" s="50">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7" t="s">
        <v>1938</v>
      </c>
      <c r="D14" s="47">
        <f t="shared" si="0"/>
        <v>0</v>
      </c>
      <c r="E14" s="50">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7" t="s">
        <v>1933</v>
      </c>
      <c r="D15" s="47">
        <f t="shared" si="0"/>
        <v>0</v>
      </c>
      <c r="E15" s="50">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49" t="s">
        <v>1927</v>
      </c>
      <c r="D16" s="49">
        <f>SUM(D8:D15)</f>
        <v>95.61</v>
      </c>
      <c r="E16" s="52">
        <f>SUM(E8:E15)</f>
        <v>2215.16</v>
      </c>
      <c r="F16" s="1390"/>
      <c r="G16" s="2236"/>
      <c r="H16" s="2239" t="s">
        <v>1939</v>
      </c>
      <c r="I16" s="2240"/>
      <c r="J16" s="1390"/>
      <c r="K16" s="3064" t="s">
        <v>1939</v>
      </c>
      <c r="L16" s="3065"/>
      <c r="M16" s="3065"/>
      <c r="N16" s="3065"/>
      <c r="O16" s="3065"/>
      <c r="P16" s="3066"/>
    </row>
    <row r="17" spans="1:19" ht="15">
      <c r="A17" s="2241" t="s">
        <v>1940</v>
      </c>
      <c r="B17" s="2242" t="s">
        <v>1941</v>
      </c>
      <c r="C17" s="2243" t="s">
        <v>1942</v>
      </c>
      <c r="D17" s="2244" t="s">
        <v>1930</v>
      </c>
      <c r="E17" s="2245" t="s">
        <v>1931</v>
      </c>
      <c r="F17" s="2246"/>
      <c r="G17" s="2247"/>
      <c r="H17" s="2248" t="s">
        <v>1943</v>
      </c>
      <c r="I17" s="2249" t="s">
        <v>1928</v>
      </c>
      <c r="J17" s="1390"/>
      <c r="K17" s="3061" t="s">
        <v>1944</v>
      </c>
      <c r="L17" s="3062"/>
      <c r="M17" s="3063"/>
      <c r="N17" s="3061" t="s">
        <v>1945</v>
      </c>
      <c r="O17" s="3062"/>
      <c r="P17" s="3063"/>
      <c r="R17" s="2227" t="s">
        <v>1946</v>
      </c>
      <c r="S17" s="63"/>
    </row>
    <row r="18" spans="1:19" ht="15">
      <c r="A18" s="2237"/>
      <c r="B18" s="2250"/>
      <c r="C18" s="2251"/>
      <c r="D18" s="2252"/>
      <c r="E18" s="2253" t="s">
        <v>1947</v>
      </c>
      <c r="F18" s="2254" t="s">
        <v>1948</v>
      </c>
      <c r="G18" s="2255" t="s">
        <v>1949</v>
      </c>
      <c r="H18" s="1260" t="s">
        <v>1950</v>
      </c>
      <c r="I18" s="2256" t="s">
        <v>1951</v>
      </c>
      <c r="J18" s="1390"/>
      <c r="K18" s="1260" t="s">
        <v>1952</v>
      </c>
      <c r="L18" s="2257" t="s">
        <v>1953</v>
      </c>
      <c r="M18" s="1044" t="s">
        <v>1954</v>
      </c>
      <c r="N18" s="1260" t="s">
        <v>1952</v>
      </c>
      <c r="O18" s="2257" t="s">
        <v>1953</v>
      </c>
      <c r="P18" s="1044" t="s">
        <v>1954</v>
      </c>
      <c r="R18" s="1245" t="s">
        <v>1955</v>
      </c>
      <c r="S18" s="1245" t="s">
        <v>1956</v>
      </c>
    </row>
    <row r="19" spans="1:19">
      <c r="A19" s="2258"/>
      <c r="B19" s="49" t="s">
        <v>1929</v>
      </c>
      <c r="C19" s="2974">
        <v>2301</v>
      </c>
      <c r="D19" s="47">
        <f>ROUND($D$3*E19/$E$3,2)</f>
        <v>12.79</v>
      </c>
      <c r="E19" s="55">
        <f t="shared" ref="E19:E26" si="1">SUM(F19:G19)</f>
        <v>296.32</v>
      </c>
      <c r="F19" s="2984">
        <f>'数据-基础表'!I13</f>
        <v>296.32</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60"/>
      <c r="O19" s="2261"/>
      <c r="P19" s="1401">
        <f>N19+O19</f>
        <v>0</v>
      </c>
      <c r="R19" s="1245">
        <f t="shared" ref="R19:S26" si="5">D19+H19</f>
        <v>12.79</v>
      </c>
      <c r="S19" s="1246">
        <f t="shared" si="5"/>
        <v>296.32</v>
      </c>
    </row>
    <row r="20" spans="1:19">
      <c r="A20" s="2262"/>
      <c r="B20" s="49" t="s">
        <v>1957</v>
      </c>
      <c r="C20" s="2974" t="s">
        <v>3115</v>
      </c>
      <c r="D20" s="47">
        <f t="shared" ref="D20:D26" si="6">ROUND($D$3*E20/$E$3,2)</f>
        <v>82.82</v>
      </c>
      <c r="E20" s="55">
        <f t="shared" si="1"/>
        <v>1918.84</v>
      </c>
      <c r="F20" s="2984">
        <f>'数据-基础表'!I5-'数据-基础表'!I13</f>
        <v>1918.84</v>
      </c>
      <c r="G20" s="57"/>
      <c r="H20" s="721">
        <f t="shared" ref="H20:H26" si="7">ROUND($D$3*I20/$E$3,2)</f>
        <v>0</v>
      </c>
      <c r="I20" s="50">
        <f t="shared" si="2"/>
        <v>0</v>
      </c>
      <c r="J20" s="1390"/>
      <c r="K20" s="1389">
        <f t="shared" si="3"/>
        <v>0</v>
      </c>
      <c r="L20" s="1245">
        <f t="shared" si="4"/>
        <v>0</v>
      </c>
      <c r="M20" s="1401">
        <f t="shared" ref="M20:M26" si="8">K20+L20</f>
        <v>0</v>
      </c>
      <c r="N20" s="2260"/>
      <c r="O20" s="2261"/>
      <c r="P20" s="1401">
        <f t="shared" ref="P20:P26" si="9">N20+O20</f>
        <v>0</v>
      </c>
      <c r="R20" s="1245">
        <f t="shared" si="5"/>
        <v>82.82</v>
      </c>
      <c r="S20" s="1246">
        <f t="shared" si="5"/>
        <v>1918.84</v>
      </c>
    </row>
    <row r="21" spans="1:19">
      <c r="A21" s="2262"/>
      <c r="B21" s="49" t="s">
        <v>1957</v>
      </c>
      <c r="C21" s="2259"/>
      <c r="D21" s="47">
        <f t="shared" si="6"/>
        <v>0</v>
      </c>
      <c r="E21" s="55">
        <f t="shared" si="1"/>
        <v>0</v>
      </c>
      <c r="F21" s="56"/>
      <c r="G21" s="57"/>
      <c r="H21" s="721">
        <f t="shared" si="7"/>
        <v>0</v>
      </c>
      <c r="I21" s="50">
        <f t="shared" si="2"/>
        <v>0</v>
      </c>
      <c r="J21" s="1390"/>
      <c r="K21" s="1389">
        <f t="shared" si="3"/>
        <v>0</v>
      </c>
      <c r="L21" s="1245">
        <f t="shared" si="4"/>
        <v>0</v>
      </c>
      <c r="M21" s="1401">
        <f t="shared" si="8"/>
        <v>0</v>
      </c>
      <c r="N21" s="2260"/>
      <c r="O21" s="2261"/>
      <c r="P21" s="1401">
        <f t="shared" si="9"/>
        <v>0</v>
      </c>
      <c r="R21" s="1245">
        <f t="shared" si="5"/>
        <v>0</v>
      </c>
      <c r="S21" s="1246">
        <f t="shared" si="5"/>
        <v>0</v>
      </c>
    </row>
    <row r="22" spans="1:19">
      <c r="A22" s="2262"/>
      <c r="B22" s="49" t="s">
        <v>1957</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60"/>
      <c r="O22" s="2261"/>
      <c r="P22" s="1401">
        <f t="shared" si="9"/>
        <v>0</v>
      </c>
      <c r="R22" s="1245">
        <f t="shared" si="5"/>
        <v>0</v>
      </c>
      <c r="S22" s="1246">
        <f t="shared" si="5"/>
        <v>0</v>
      </c>
    </row>
    <row r="23" spans="1:19">
      <c r="A23" s="2262"/>
      <c r="B23" s="49" t="s">
        <v>1957</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60"/>
      <c r="O23" s="2261"/>
      <c r="P23" s="1401">
        <f t="shared" si="9"/>
        <v>0</v>
      </c>
      <c r="R23" s="1245">
        <f t="shared" si="5"/>
        <v>0</v>
      </c>
      <c r="S23" s="1246">
        <f t="shared" si="5"/>
        <v>0</v>
      </c>
    </row>
    <row r="24" spans="1:19">
      <c r="A24" s="2262"/>
      <c r="B24" s="49" t="s">
        <v>1957</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60"/>
      <c r="O24" s="2261"/>
      <c r="P24" s="1401">
        <f t="shared" si="9"/>
        <v>0</v>
      </c>
      <c r="R24" s="1245">
        <f t="shared" si="5"/>
        <v>0</v>
      </c>
      <c r="S24" s="1246">
        <f t="shared" si="5"/>
        <v>0</v>
      </c>
    </row>
    <row r="25" spans="1:19">
      <c r="A25" s="2262"/>
      <c r="B25" s="49" t="s">
        <v>1957</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60"/>
      <c r="O25" s="2261"/>
      <c r="P25" s="1401">
        <f t="shared" si="9"/>
        <v>0</v>
      </c>
      <c r="R25" s="1245">
        <f t="shared" si="5"/>
        <v>0</v>
      </c>
      <c r="S25" s="1246">
        <f t="shared" si="5"/>
        <v>0</v>
      </c>
    </row>
    <row r="26" spans="1:19">
      <c r="A26" s="2262"/>
      <c r="B26" s="49" t="s">
        <v>1957</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3"/>
      <c r="O26" s="2264"/>
      <c r="P26" s="66">
        <f t="shared" si="9"/>
        <v>0</v>
      </c>
      <c r="R26" s="1245">
        <f t="shared" si="5"/>
        <v>0</v>
      </c>
      <c r="S26" s="1246">
        <f t="shared" si="5"/>
        <v>0</v>
      </c>
    </row>
    <row r="27" spans="1:19" ht="15.75" thickBot="1">
      <c r="A27" s="2262"/>
      <c r="B27" s="47"/>
      <c r="C27" s="2265" t="s">
        <v>1958</v>
      </c>
      <c r="D27" s="1391">
        <f>SUM(D19:D26)</f>
        <v>95.609999999999985</v>
      </c>
      <c r="E27" s="1392">
        <f>IF(SUM(E19:E26)='数据-基础表'!BA5,SUM(E19:E26),IF(F27="地上面积有误","面积有误","地下面积有误"))</f>
        <v>2215.16</v>
      </c>
      <c r="F27" s="1391">
        <f>IF(SUM(F19:F26)=E8,SUM(F19:F26),"地上面积有误")</f>
        <v>2215.16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95.609999999999985</v>
      </c>
      <c r="S27" s="1245">
        <f>IF(SUM(S19:S26)=$E$3,SUM(S19:S26),SUM(S19:S26)&amp;"误差"&amp;ROUND(SUM(S19:S26)-E3,2))</f>
        <v>2215.16</v>
      </c>
    </row>
    <row r="28" spans="1:19">
      <c r="A28" s="2262"/>
      <c r="B28" s="49" t="s">
        <v>1959</v>
      </c>
      <c r="C28" s="1257" t="s">
        <v>1960</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2"/>
      <c r="B29" s="49" t="s">
        <v>1959</v>
      </c>
      <c r="C29" s="2266" t="s">
        <v>1961</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2"/>
      <c r="B30" s="49"/>
      <c r="C30" s="2267"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8"/>
      <c r="B31" s="2269"/>
      <c r="C31" s="1005" t="s">
        <v>1962</v>
      </c>
      <c r="D31" s="727">
        <f>D27+D30</f>
        <v>95.609999999999985</v>
      </c>
      <c r="E31" s="727">
        <f>E27+E30</f>
        <v>2215.16</v>
      </c>
      <c r="F31" s="728">
        <f>F27+F30</f>
        <v>2215.16</v>
      </c>
      <c r="G31" s="729">
        <f>G27+G30</f>
        <v>0</v>
      </c>
      <c r="H31" s="1390"/>
      <c r="I31" s="1390"/>
      <c r="J31" s="1390"/>
      <c r="K31" s="1390"/>
      <c r="L31" s="1390"/>
      <c r="M31" s="1390"/>
      <c r="N31" s="1390"/>
      <c r="O31" s="1390"/>
      <c r="P31" s="1390"/>
    </row>
    <row r="32" spans="1:19">
      <c r="A32" s="2232"/>
      <c r="B32" s="2232" t="s">
        <v>1963</v>
      </c>
      <c r="C32" s="2232"/>
      <c r="D32" s="2232"/>
      <c r="E32" s="1272">
        <f>SUMIF(C19:C26,"*住宅*",E19:E26)</f>
        <v>0</v>
      </c>
      <c r="F32" s="2232"/>
      <c r="G32" s="2232"/>
      <c r="H32" s="1390"/>
      <c r="I32" s="1390"/>
      <c r="J32" s="1390"/>
      <c r="K32" s="1390"/>
      <c r="L32" s="1390"/>
      <c r="M32" s="1390"/>
      <c r="N32" s="1390"/>
      <c r="O32" s="1390"/>
      <c r="P32" s="1390"/>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0"/>
      <c r="C1" s="1579"/>
      <c r="D1" s="2272"/>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1965</v>
      </c>
      <c r="B2" s="1264">
        <f>项目基本情况!D3</f>
        <v>43656</v>
      </c>
      <c r="C2" s="2276"/>
      <c r="D2" s="2277"/>
      <c r="E2" s="2276"/>
      <c r="F2" s="2276"/>
      <c r="G2" s="2276"/>
      <c r="H2" s="2276"/>
      <c r="I2" s="2276"/>
      <c r="J2" s="2276"/>
      <c r="K2" s="1425"/>
      <c r="L2" s="1425"/>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5"/>
      <c r="L3" s="1425"/>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6" t="s">
        <v>1976</v>
      </c>
      <c r="F5" s="2292" t="s">
        <v>1977</v>
      </c>
      <c r="G5" s="1266" t="s">
        <v>1978</v>
      </c>
      <c r="H5" s="1266" t="s">
        <v>1979</v>
      </c>
      <c r="I5" s="1266" t="s">
        <v>1980</v>
      </c>
      <c r="J5" s="2293" t="s">
        <v>1981</v>
      </c>
      <c r="K5" s="2294" t="s">
        <v>1982</v>
      </c>
      <c r="L5" s="2295" t="s">
        <v>1983</v>
      </c>
      <c r="M5" s="2296" t="s">
        <v>1984</v>
      </c>
      <c r="N5" s="2297" t="s">
        <v>3059</v>
      </c>
      <c r="O5" s="2295" t="s">
        <v>1985</v>
      </c>
      <c r="P5" s="2298" t="s">
        <v>1986</v>
      </c>
      <c r="Q5" s="68" t="s">
        <v>1987</v>
      </c>
      <c r="R5" s="2299" t="s">
        <v>1988</v>
      </c>
      <c r="S5" s="2300" t="s">
        <v>1989</v>
      </c>
      <c r="T5" s="2301" t="s">
        <v>1990</v>
      </c>
      <c r="U5" s="1265" t="s">
        <v>1991</v>
      </c>
      <c r="V5" s="1266" t="s">
        <v>1992</v>
      </c>
      <c r="W5" s="1266" t="s">
        <v>1993</v>
      </c>
      <c r="X5" s="70"/>
      <c r="Y5" s="69" t="s">
        <v>1994</v>
      </c>
      <c r="Z5" s="2302" t="s">
        <v>1991</v>
      </c>
      <c r="AA5" s="1266" t="s">
        <v>1992</v>
      </c>
      <c r="AB5" s="1266" t="s">
        <v>1993</v>
      </c>
      <c r="AC5" s="70"/>
      <c r="AD5" s="70" t="s">
        <v>1994</v>
      </c>
      <c r="AE5" s="1265" t="s">
        <v>1995</v>
      </c>
      <c r="AF5" s="1266" t="s">
        <v>1996</v>
      </c>
      <c r="AG5" s="69" t="s">
        <v>1997</v>
      </c>
      <c r="AH5" s="1265" t="s">
        <v>1998</v>
      </c>
      <c r="AI5" s="2302" t="s">
        <v>1999</v>
      </c>
      <c r="AJ5" s="2302" t="s">
        <v>2000</v>
      </c>
      <c r="AK5" s="1266" t="s">
        <v>2001</v>
      </c>
      <c r="AL5" s="1266" t="s">
        <v>2002</v>
      </c>
      <c r="AM5" s="69" t="s">
        <v>2003</v>
      </c>
      <c r="AN5" s="2303" t="s">
        <v>2004</v>
      </c>
      <c r="AO5" s="2073" t="s">
        <v>2005</v>
      </c>
      <c r="AP5" s="1247"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f>'数据-汇总表'!C19</f>
        <v>2301</v>
      </c>
      <c r="B6" s="2306" t="str">
        <f>IF(A6=0,"","经营性")</f>
        <v>经营性</v>
      </c>
      <c r="C6" s="2307" t="s">
        <v>1373</v>
      </c>
      <c r="D6" s="1049">
        <f>SUMIF(项目基本情况!D$12:I$12,C6,项目基本情况!D$14:I$14)</f>
        <v>40</v>
      </c>
      <c r="E6" s="1046">
        <f>IF(B6="","",SUMIF(项目基本情况!D$12:I$12,C6,项目基本情况!D$13:I$13))</f>
        <v>53562</v>
      </c>
      <c r="F6" s="71">
        <f>SUMIF(项目基本情况!D$12:I$12,C6,项目基本情况!D$15:I$15)</f>
        <v>27.13</v>
      </c>
      <c r="G6" s="72">
        <f>IF(ISERROR(ROUND(POWER(1+H6,D6-F6)*(POWER(1+H6,F6)-1)/(POWER(1+H6,D6)-1),3)),0,ROUND(POWER(1+H6,D6-F6)*(POWER(1+H6,F6)-1)/(POWER(1+H6,D6)-1),3))</f>
        <v>0.85499999999999998</v>
      </c>
      <c r="H6" s="800">
        <v>0.05</v>
      </c>
      <c r="I6" s="800">
        <v>5.5E-2</v>
      </c>
      <c r="J6" s="73">
        <v>0.08</v>
      </c>
      <c r="K6" s="1249">
        <f>SUMIF('数据-汇总表'!C$19:C$33,A6,'数据-汇总表'!E$19:E$33)</f>
        <v>296.32</v>
      </c>
      <c r="L6" s="801">
        <v>2800</v>
      </c>
      <c r="M6" s="74">
        <f t="shared" ref="M6:M14" si="0">ROUND(K6*L6/10000,0)</f>
        <v>83</v>
      </c>
      <c r="N6" s="3315">
        <v>0.88</v>
      </c>
      <c r="O6" s="74" t="str">
        <f>IF($N$5="成新度","——",ROUND(M6*N6,0))</f>
        <v>——</v>
      </c>
      <c r="P6" s="75" t="str">
        <f>IF($N$5="成新度","——",M6-O6)</f>
        <v>——</v>
      </c>
      <c r="Q6" s="802">
        <v>0.15</v>
      </c>
      <c r="R6" s="76">
        <f ca="1">SUMIF('数据-汇总表'!C$19:C$33,A6,'数据-汇总表'!R$19:R$27)</f>
        <v>12.79</v>
      </c>
      <c r="S6" s="53">
        <f>IF('数据-汇总表'!$I$17="按面积比例",SUMIF('数据-汇总表'!C$19:C$33,A6,'数据-汇总表'!K$19:K$33),SUMIF('数据-汇总表'!C$19:C$33,A6,'数据-汇总表'!N$19:N$33))</f>
        <v>0</v>
      </c>
      <c r="T6" s="1441">
        <f>ROUND($L$14*S6/10000,0)</f>
        <v>0</v>
      </c>
      <c r="U6" s="77">
        <v>2</v>
      </c>
      <c r="V6" s="78">
        <v>2.5000000000000001E-2</v>
      </c>
      <c r="W6" s="78">
        <v>0.1</v>
      </c>
      <c r="X6" s="1259"/>
      <c r="Y6" s="79">
        <f>N6</f>
        <v>0.88</v>
      </c>
      <c r="Z6" s="80"/>
      <c r="AA6" s="73"/>
      <c r="AB6" s="73"/>
      <c r="AC6" s="1259"/>
      <c r="AD6" s="81"/>
      <c r="AE6" s="1260">
        <f ca="1">IF(AN6="",0,SUMIF(INDIRECT("'"&amp;AN6&amp;"'"&amp;"!E:E"),$AE$5,INDIRECT("'"&amp;AN6&amp;"'"&amp;"!F:F")))</f>
        <v>27.13</v>
      </c>
      <c r="AF6" s="1802"/>
      <c r="AG6" s="146">
        <f>IF(AF6="",0,AE6-AF6)</f>
        <v>0</v>
      </c>
      <c r="AH6" s="82"/>
      <c r="AI6" s="84">
        <v>365</v>
      </c>
      <c r="AJ6" s="85"/>
      <c r="AK6" s="86">
        <v>1.4999999999999999E-2</v>
      </c>
      <c r="AL6" s="87">
        <v>1.5E-3</v>
      </c>
      <c r="AM6" s="88">
        <v>0.01</v>
      </c>
      <c r="AN6" s="2308" t="s">
        <v>3103</v>
      </c>
      <c r="AO6" s="54">
        <f ca="1">SUMIF(INDIRECT("'"&amp;AN6&amp;"'"&amp;"!A:A"),"总价",INDIRECT("'"&amp;AN6&amp;"'"&amp;"!B:B"))</f>
        <v>286</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其他</v>
      </c>
      <c r="B7" s="2306" t="str">
        <f t="shared" ref="B7:B13" si="1">IF(A7=0,"","经营性")</f>
        <v>经营性</v>
      </c>
      <c r="C7" s="2307"/>
      <c r="D7" s="1049">
        <f>SUMIF(项目基本情况!D$12:I$12,C7,项目基本情况!D$14:I$14)</f>
        <v>0</v>
      </c>
      <c r="E7" s="1046">
        <f>IF(B7="","",SUMIF(项目基本情况!D$12:I$12,C7,项目基本情况!D$13:I$13))</f>
        <v>0</v>
      </c>
      <c r="F7" s="71">
        <f>SUMIF(项目基本情况!D$12:I$12,C7,项目基本情况!D$15:I$15)</f>
        <v>0</v>
      </c>
      <c r="G7" s="72">
        <f t="shared" ref="G7:G11" si="2">IF(ISERROR(ROUND(POWER(1+H7,D7-F7)*(POWER(1+H7,F7)-1)/(POWER(1+H7,D7)-1),3)),0,ROUND(POWER(1+H7,D7-F7)*(POWER(1+H7,F7)-1)/(POWER(1+H7,D7)-1),3))</f>
        <v>0</v>
      </c>
      <c r="H7" s="800"/>
      <c r="I7" s="800"/>
      <c r="J7" s="73"/>
      <c r="K7" s="1249">
        <f>SUMIF('数据-汇总表'!C$19:C$33,A7,'数据-汇总表'!E$19:E$33)</f>
        <v>1918.84</v>
      </c>
      <c r="L7" s="801"/>
      <c r="M7" s="74">
        <f t="shared" si="0"/>
        <v>0</v>
      </c>
      <c r="N7" s="799"/>
      <c r="O7" s="74" t="str">
        <f t="shared" ref="O7:O14" si="3">IF($N$5="成新度","——",ROUND(M7*N7,0))</f>
        <v>——</v>
      </c>
      <c r="P7" s="75" t="str">
        <f t="shared" ref="P7:P14" si="4">IF($N$5="成新度","——",M7-O7)</f>
        <v>——</v>
      </c>
      <c r="Q7" s="802"/>
      <c r="R7" s="76">
        <f ca="1">SUMIF('数据-汇总表'!C$19:C$33,A7,'数据-汇总表'!R$19:R$27)</f>
        <v>82.82</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v>365</v>
      </c>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6"/>
      <c r="C16" s="1003"/>
      <c r="D16" s="2313"/>
      <c r="E16" s="96"/>
      <c r="F16" s="96"/>
      <c r="G16" s="97">
        <f>ROUND(SUMPRODUCT(G6:G13,K6:K13)/SUMPRODUCT((G6:G13&gt;0)*(K6:K13)),3)</f>
        <v>0.85499999999999998</v>
      </c>
      <c r="H16" s="98">
        <f>ROUND(SUMPRODUCT(H6:H13,K6:K13)/SUMPRODUCT((H6:H13&gt;0)*(K6:K13)),3)</f>
        <v>0.05</v>
      </c>
      <c r="I16" s="99"/>
      <c r="J16" s="99"/>
      <c r="K16" s="100">
        <f>SUM(K6:K15)</f>
        <v>2215.16</v>
      </c>
      <c r="L16" s="101">
        <f>ROUND(M16*10000/SUM(K6:K14),0)</f>
        <v>375</v>
      </c>
      <c r="M16" s="101">
        <f>SUM(M6:M14)</f>
        <v>83</v>
      </c>
      <c r="N16" s="102">
        <f>ROUND(SUMPRODUCT(M6:M14,N6:N14)/M16,3)</f>
        <v>0.88</v>
      </c>
      <c r="O16" s="101">
        <f>SUM(O6:O14)</f>
        <v>0</v>
      </c>
      <c r="P16" s="101">
        <f>SUM(P6:P14)</f>
        <v>0</v>
      </c>
      <c r="Q16" s="103">
        <f>ROUND(SUMPRODUCT(Q6:Q13,K6:K13)/SUMPRODUCT((Q6:Q13&gt;0)*(K6:K13)),2)</f>
        <v>0.15</v>
      </c>
      <c r="R16" s="1253">
        <f ca="1">SUM(R6:R13)</f>
        <v>95.609999999999985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79"/>
      <c r="D17" s="2272"/>
      <c r="E17" s="2272"/>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2014</v>
      </c>
      <c r="B18" s="2279"/>
      <c r="C18" s="2276"/>
      <c r="D18" s="2277"/>
      <c r="E18" s="2276"/>
      <c r="F18" s="2276"/>
      <c r="G18" s="2276"/>
      <c r="H18" s="2276"/>
      <c r="I18" s="2276"/>
      <c r="J18" s="2276"/>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2015</v>
      </c>
      <c r="B19" s="111">
        <v>0</v>
      </c>
      <c r="C19" s="2276" t="s">
        <v>2016</v>
      </c>
      <c r="D19" s="2277"/>
      <c r="E19" s="2276"/>
      <c r="F19" s="2276"/>
      <c r="G19" s="2276"/>
      <c r="H19" s="2276"/>
      <c r="I19" s="2276"/>
      <c r="J19" s="2276"/>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2017</v>
      </c>
      <c r="B20" s="112">
        <v>3</v>
      </c>
      <c r="C20" s="2276"/>
      <c r="D20" s="2277"/>
      <c r="E20" s="2276"/>
      <c r="F20" s="2276"/>
      <c r="G20" s="2276"/>
      <c r="H20" s="2276"/>
      <c r="I20" s="2276"/>
      <c r="J20" s="2276"/>
      <c r="K20" s="167"/>
      <c r="L20" s="167"/>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2018</v>
      </c>
      <c r="B21" s="112">
        <v>3</v>
      </c>
      <c r="C21" s="2276"/>
      <c r="D21" s="2277"/>
      <c r="E21" s="2276"/>
      <c r="F21" s="2276"/>
      <c r="G21" s="2276"/>
      <c r="H21" s="2276"/>
      <c r="I21" s="2276"/>
      <c r="J21" s="2276"/>
      <c r="K21" s="167"/>
      <c r="L21" s="167"/>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2019</v>
      </c>
      <c r="B22" s="113">
        <f>B19+B20</f>
        <v>3</v>
      </c>
      <c r="C22" s="2276"/>
      <c r="D22" s="2277"/>
      <c r="E22" s="2276"/>
      <c r="F22" s="2276"/>
      <c r="G22" s="2276"/>
      <c r="H22" s="2276"/>
      <c r="I22" s="2276"/>
      <c r="J22" s="2276"/>
      <c r="K22" s="167"/>
      <c r="L22" s="167"/>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2020</v>
      </c>
      <c r="B23" s="113">
        <f>B19+B21</f>
        <v>3</v>
      </c>
      <c r="C23" s="2276"/>
      <c r="D23" s="2277"/>
      <c r="E23" s="2276"/>
      <c r="F23" s="2276"/>
      <c r="G23" s="2276"/>
      <c r="H23" s="2276"/>
      <c r="I23" s="2276"/>
      <c r="J23" s="2276"/>
      <c r="K23" s="167"/>
      <c r="L23" s="167"/>
      <c r="M23" s="1579"/>
      <c r="N23" s="1579">
        <v>60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2021</v>
      </c>
      <c r="B24" s="114">
        <f>B20-B21</f>
        <v>0</v>
      </c>
      <c r="C24" s="2276"/>
      <c r="D24" s="2277"/>
      <c r="E24" s="2276"/>
      <c r="F24" s="2276"/>
      <c r="G24" s="2276"/>
      <c r="H24" s="2276"/>
      <c r="I24" s="2276"/>
      <c r="J24" s="2276"/>
      <c r="K24" s="167"/>
      <c r="L24" s="167"/>
      <c r="M24" s="1579"/>
      <c r="N24" s="1579">
        <f>N23-N22</f>
        <v>53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7"/>
      <c r="L25" s="167"/>
      <c r="M25" s="1579"/>
      <c r="N25" s="1579">
        <f>N24/N23</f>
        <v>0.8833333333333333</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2022</v>
      </c>
      <c r="B26" s="2319" t="s">
        <v>2023</v>
      </c>
      <c r="C26" s="2320" t="s">
        <v>2024</v>
      </c>
      <c r="D26" s="2277"/>
      <c r="E26" s="2276"/>
      <c r="F26" s="2276"/>
      <c r="G26" s="2276"/>
      <c r="H26" s="2276"/>
      <c r="I26" s="2276"/>
      <c r="J26" s="2276"/>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2025</v>
      </c>
      <c r="B27" s="115"/>
      <c r="C27" s="1762" t="s">
        <v>2026</v>
      </c>
      <c r="D27" s="2322"/>
      <c r="E27" s="1425"/>
      <c r="F27" s="1425"/>
      <c r="G27" s="2276"/>
      <c r="H27" s="2276"/>
      <c r="I27" s="2276"/>
      <c r="J27" s="2276"/>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3" customFormat="1" ht="27.75">
      <c r="A28" s="2324" t="s">
        <v>2027</v>
      </c>
      <c r="B28" s="118">
        <v>130</v>
      </c>
      <c r="C28" s="2325"/>
      <c r="D28" s="2322"/>
      <c r="E28" s="1425"/>
      <c r="F28" s="1425"/>
      <c r="G28" s="2276"/>
      <c r="H28" s="2276"/>
      <c r="I28" s="2276"/>
      <c r="J28" s="2276"/>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3" customFormat="1" ht="28.5" thickBot="1">
      <c r="A29" s="2326" t="s">
        <v>2028</v>
      </c>
      <c r="B29" s="120"/>
      <c r="C29" s="1762" t="s">
        <v>2029</v>
      </c>
      <c r="D29" s="2322"/>
      <c r="E29" s="1425"/>
      <c r="F29" s="1425"/>
      <c r="G29" s="2276"/>
      <c r="H29" s="2276"/>
      <c r="I29" s="2276"/>
      <c r="J29" s="2276"/>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3" customFormat="1" ht="27">
      <c r="A30" s="2327" t="s">
        <v>2030</v>
      </c>
      <c r="B30" s="722">
        <v>200</v>
      </c>
      <c r="C30" s="2325"/>
      <c r="D30" s="2322"/>
      <c r="E30" s="1425"/>
      <c r="F30" s="1425"/>
      <c r="G30" s="2276"/>
      <c r="H30" s="2276"/>
      <c r="I30" s="2276"/>
      <c r="J30" s="2276"/>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3" customFormat="1" ht="27">
      <c r="A31" s="2324" t="s">
        <v>2031</v>
      </c>
      <c r="B31" s="119">
        <f>B30-B32</f>
        <v>200</v>
      </c>
      <c r="C31" s="1762"/>
      <c r="D31" s="2322"/>
      <c r="E31" s="1425"/>
      <c r="F31" s="1425"/>
      <c r="G31" s="2276"/>
      <c r="H31" s="2276"/>
      <c r="I31" s="2276"/>
      <c r="J31" s="2276"/>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3" customFormat="1" ht="27.75" thickBot="1">
      <c r="A32" s="2328" t="s">
        <v>2032</v>
      </c>
      <c r="B32" s="723">
        <v>0</v>
      </c>
      <c r="C32" s="2325"/>
      <c r="D32" s="2277"/>
      <c r="E32" s="2276"/>
      <c r="F32" s="2276"/>
      <c r="G32" s="2276"/>
      <c r="H32" s="2276"/>
      <c r="I32" s="2276"/>
      <c r="J32" s="2276"/>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3" customFormat="1" ht="14.25">
      <c r="A33" s="2321" t="s">
        <v>2033</v>
      </c>
      <c r="B33" s="724">
        <v>0.05</v>
      </c>
      <c r="C33" s="1761" t="s">
        <v>2034</v>
      </c>
      <c r="D33" s="2277"/>
      <c r="E33" s="2276"/>
      <c r="F33" s="2276"/>
      <c r="G33" s="2276"/>
      <c r="H33" s="2276"/>
      <c r="I33" s="2276"/>
      <c r="J33" s="2276"/>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3" customFormat="1" ht="14.25">
      <c r="A34" s="2324" t="s">
        <v>2035</v>
      </c>
      <c r="B34" s="121">
        <v>0</v>
      </c>
      <c r="C34" s="1761" t="s">
        <v>2036</v>
      </c>
      <c r="D34" s="2277" t="s">
        <v>2037</v>
      </c>
      <c r="E34" s="730"/>
      <c r="F34" s="2276"/>
      <c r="G34" s="2276"/>
      <c r="H34" s="2276"/>
      <c r="I34" s="2276"/>
      <c r="J34" s="2276"/>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3" customFormat="1" ht="14.25">
      <c r="A35" s="2324" t="s">
        <v>2038</v>
      </c>
      <c r="B35" s="118">
        <v>200</v>
      </c>
      <c r="C35" s="1761" t="s">
        <v>2039</v>
      </c>
      <c r="D35" s="2322"/>
      <c r="E35" s="1425"/>
      <c r="F35" s="1425"/>
      <c r="G35" s="2276"/>
      <c r="H35" s="2276"/>
      <c r="I35" s="2276"/>
      <c r="J35" s="2276"/>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6" t="s">
        <v>2040</v>
      </c>
      <c r="B36" s="122">
        <v>1.4999999999999999E-2</v>
      </c>
      <c r="C36" s="1761" t="s">
        <v>2041</v>
      </c>
      <c r="D36" s="2277"/>
      <c r="E36" s="2276"/>
      <c r="F36" s="2276"/>
      <c r="G36" s="2276"/>
      <c r="H36" s="2276"/>
      <c r="I36" s="2276"/>
      <c r="J36" s="2276"/>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2042</v>
      </c>
      <c r="B37" s="123">
        <v>0.02</v>
      </c>
      <c r="C37" s="1761" t="s">
        <v>2043</v>
      </c>
      <c r="D37" s="2277"/>
      <c r="E37" s="2276"/>
      <c r="F37" s="2276"/>
      <c r="G37" s="2276"/>
      <c r="H37" s="2276"/>
      <c r="I37" s="2276"/>
      <c r="J37" s="2276"/>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2044</v>
      </c>
      <c r="B38" s="121">
        <v>0.02</v>
      </c>
      <c r="C38" s="1761" t="s">
        <v>2043</v>
      </c>
      <c r="D38" s="2277"/>
      <c r="E38" s="2276"/>
      <c r="F38" s="2276"/>
      <c r="G38" s="2276"/>
      <c r="H38" s="2276"/>
      <c r="I38" s="2276"/>
      <c r="J38" s="2276"/>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2045</v>
      </c>
      <c r="B39" s="361">
        <f ca="1">存贷款利率!I1</f>
        <v>1.4999999999999999E-2</v>
      </c>
      <c r="C39" s="1761"/>
      <c r="D39" s="2277"/>
      <c r="E39" s="2276"/>
      <c r="F39" s="2276"/>
      <c r="G39" s="2276"/>
      <c r="H39" s="2276"/>
      <c r="I39" s="2276"/>
      <c r="J39" s="2276"/>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2046</v>
      </c>
      <c r="B40" s="1298">
        <f ca="1">存贷款利率!G1</f>
        <v>4.7500000000000001E-2</v>
      </c>
      <c r="C40" s="1761" t="s">
        <v>2047</v>
      </c>
      <c r="D40" s="1579"/>
      <c r="E40" s="2277"/>
      <c r="F40" s="2276"/>
      <c r="G40" s="2276"/>
      <c r="H40" s="2276"/>
      <c r="I40" s="2276"/>
      <c r="J40" s="2276"/>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2048</v>
      </c>
      <c r="B41" s="124">
        <f>B42+B43</f>
        <v>5.6000000000000001E-2</v>
      </c>
      <c r="C41" s="1762"/>
      <c r="D41" s="1579"/>
      <c r="E41" s="2277"/>
      <c r="F41" s="2276"/>
      <c r="G41" s="2276"/>
      <c r="H41" s="2276"/>
      <c r="I41" s="2276"/>
      <c r="J41" s="2276"/>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2049</v>
      </c>
      <c r="B42" s="125">
        <v>0.05</v>
      </c>
      <c r="C42" s="2330">
        <f>IF(B2&lt;DATE(2016,5,1),0,B42)</f>
        <v>0.05</v>
      </c>
      <c r="D42" s="2277"/>
      <c r="E42" s="2276"/>
      <c r="F42" s="2276"/>
      <c r="G42" s="2276"/>
      <c r="H42" s="2276"/>
      <c r="I42" s="2276"/>
      <c r="J42" s="2276"/>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2050</v>
      </c>
      <c r="B43" s="126">
        <f>B42*(B44+B45+B46)+B47</f>
        <v>6.000000000000001E-3</v>
      </c>
      <c r="C43" s="1762"/>
      <c r="D43" s="2277"/>
      <c r="E43" s="2276"/>
      <c r="F43" s="2276"/>
      <c r="G43" s="2276"/>
      <c r="H43" s="2276"/>
      <c r="I43" s="2276"/>
      <c r="J43" s="2276"/>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2051</v>
      </c>
      <c r="B44" s="127">
        <v>7.0000000000000007E-2</v>
      </c>
      <c r="C44" s="1761" t="s">
        <v>2052</v>
      </c>
      <c r="D44" s="2277"/>
      <c r="E44" s="2276"/>
      <c r="F44" s="2276"/>
      <c r="G44" s="2276"/>
      <c r="H44" s="2276"/>
      <c r="I44" s="2276"/>
      <c r="J44" s="2276"/>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2053</v>
      </c>
      <c r="B45" s="125">
        <v>0.03</v>
      </c>
      <c r="C45" s="1762" t="s">
        <v>2054</v>
      </c>
      <c r="D45" s="2277"/>
      <c r="E45" s="2276"/>
      <c r="F45" s="2276"/>
      <c r="G45" s="2276"/>
      <c r="H45" s="2276"/>
      <c r="I45" s="2276"/>
      <c r="J45" s="2276"/>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2055</v>
      </c>
      <c r="B46" s="125">
        <v>0.02</v>
      </c>
      <c r="C46" s="1762" t="s">
        <v>2056</v>
      </c>
      <c r="D46" s="2277"/>
      <c r="E46" s="2276"/>
      <c r="F46" s="2276"/>
      <c r="G46" s="2276"/>
      <c r="H46" s="2276"/>
      <c r="I46" s="2276"/>
      <c r="J46" s="2276"/>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2057</v>
      </c>
      <c r="B47" s="128"/>
      <c r="C47" s="1762" t="s">
        <v>2058</v>
      </c>
      <c r="D47" s="2277"/>
      <c r="E47" s="2276"/>
      <c r="F47" s="2276"/>
      <c r="G47" s="2276"/>
      <c r="H47" s="2276"/>
      <c r="I47" s="2276"/>
      <c r="J47" s="2276"/>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2059</v>
      </c>
      <c r="B48" s="129">
        <v>0.03</v>
      </c>
      <c r="C48" s="1769" t="s">
        <v>2060</v>
      </c>
      <c r="D48" s="2277"/>
      <c r="E48" s="2276"/>
      <c r="F48" s="2276"/>
      <c r="G48" s="2276"/>
      <c r="H48" s="2276"/>
      <c r="I48" s="2276"/>
      <c r="J48" s="2276"/>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2061</v>
      </c>
      <c r="B49" s="125">
        <v>5.0000000000000001E-4</v>
      </c>
      <c r="C49" s="1769" t="s">
        <v>2062</v>
      </c>
      <c r="D49" s="2277"/>
      <c r="E49" s="2276"/>
      <c r="F49" s="2276"/>
      <c r="G49" s="2276"/>
      <c r="H49" s="2276"/>
      <c r="I49" s="2276"/>
      <c r="J49" s="2276"/>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2063</v>
      </c>
      <c r="B50" s="130">
        <v>1.2E-2</v>
      </c>
      <c r="C50" s="1425"/>
      <c r="D50" s="2277"/>
      <c r="E50" s="2276"/>
      <c r="F50" s="2276"/>
      <c r="G50" s="2276"/>
      <c r="H50" s="2276"/>
      <c r="I50" s="2276"/>
      <c r="J50" s="2276"/>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2064</v>
      </c>
      <c r="B51" s="131">
        <v>0.12</v>
      </c>
      <c r="C51" s="1425"/>
      <c r="D51" s="2277"/>
      <c r="E51" s="2276"/>
      <c r="F51" s="2276"/>
      <c r="G51" s="2276"/>
      <c r="H51" s="2276"/>
      <c r="I51" s="2276"/>
      <c r="J51" s="2276"/>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2065</v>
      </c>
      <c r="B52" s="132">
        <f>SUMIF(A54:A63,B53,B54:B63)</f>
        <v>12</v>
      </c>
      <c r="C52" s="1425"/>
      <c r="D52" s="2277"/>
      <c r="E52" s="2276"/>
      <c r="F52" s="2276"/>
      <c r="G52" s="2276"/>
      <c r="H52" s="2276"/>
      <c r="I52" s="2276"/>
      <c r="J52" s="2276"/>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2066</v>
      </c>
      <c r="B53" s="2335" t="s">
        <v>137</v>
      </c>
      <c r="C53" s="1425" t="s">
        <v>2067</v>
      </c>
      <c r="D53" s="2336" t="s">
        <v>2068</v>
      </c>
      <c r="E53" s="2276"/>
      <c r="F53" s="2276"/>
      <c r="G53" s="2276"/>
      <c r="H53" s="2276"/>
      <c r="I53" s="2276"/>
      <c r="J53" s="2276"/>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2069</v>
      </c>
      <c r="B54" s="83"/>
      <c r="C54" s="1425">
        <v>30</v>
      </c>
      <c r="D54" s="2277"/>
      <c r="E54" s="2276"/>
      <c r="F54" s="2276"/>
      <c r="G54" s="2276"/>
      <c r="H54" s="2276"/>
      <c r="I54" s="2276"/>
      <c r="J54" s="2276"/>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2070</v>
      </c>
      <c r="B55" s="83"/>
      <c r="C55" s="1425">
        <v>24</v>
      </c>
      <c r="D55" s="2277"/>
      <c r="E55" s="2276"/>
      <c r="F55" s="2276"/>
      <c r="G55" s="2276"/>
      <c r="H55" s="2276"/>
      <c r="I55" s="2338"/>
      <c r="J55" s="2276"/>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2071</v>
      </c>
      <c r="B56" s="83"/>
      <c r="C56" s="1425">
        <v>18</v>
      </c>
      <c r="D56" s="2277"/>
      <c r="E56" s="2276"/>
      <c r="F56" s="2276"/>
      <c r="G56" s="2276"/>
      <c r="H56" s="2276"/>
      <c r="I56" s="2276"/>
      <c r="J56" s="2276"/>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2072</v>
      </c>
      <c r="B57" s="83">
        <v>12</v>
      </c>
      <c r="C57" s="1425">
        <v>12</v>
      </c>
      <c r="D57" s="2277"/>
      <c r="E57" s="2276"/>
      <c r="F57" s="2276"/>
      <c r="G57" s="2276"/>
      <c r="H57" s="2276"/>
      <c r="I57" s="2276"/>
      <c r="J57" s="2276"/>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2073</v>
      </c>
      <c r="B58" s="83"/>
      <c r="C58" s="1425">
        <v>3</v>
      </c>
      <c r="D58" s="2277"/>
      <c r="E58" s="2276"/>
      <c r="F58" s="2276"/>
      <c r="G58" s="2276"/>
      <c r="H58" s="2276"/>
      <c r="I58" s="2276"/>
      <c r="J58" s="2276"/>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2074</v>
      </c>
      <c r="B59" s="83"/>
      <c r="C59" s="1425">
        <v>1.5</v>
      </c>
      <c r="D59" s="2277"/>
      <c r="E59" s="2276"/>
      <c r="F59" s="2276"/>
      <c r="G59" s="2276"/>
      <c r="H59" s="2276"/>
      <c r="I59" s="2276"/>
      <c r="J59" s="2276"/>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2075</v>
      </c>
      <c r="B60" s="83"/>
      <c r="C60" s="2276"/>
      <c r="D60" s="2277"/>
      <c r="E60" s="2276"/>
      <c r="F60" s="2276"/>
      <c r="G60" s="2276"/>
      <c r="H60" s="2276"/>
      <c r="I60" s="2276"/>
      <c r="J60" s="2276"/>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2076</v>
      </c>
      <c r="B61" s="83"/>
      <c r="C61" s="2276"/>
      <c r="D61" s="2277"/>
      <c r="E61" s="2276"/>
      <c r="F61" s="2276"/>
      <c r="G61" s="2276"/>
      <c r="H61" s="2276"/>
      <c r="I61" s="2276"/>
      <c r="J61" s="2276"/>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2077</v>
      </c>
      <c r="B62" s="83"/>
      <c r="C62" s="2276"/>
      <c r="D62" s="2277"/>
      <c r="E62" s="2276"/>
      <c r="F62" s="2276"/>
      <c r="G62" s="2276"/>
      <c r="H62" s="2276"/>
      <c r="I62" s="2276"/>
      <c r="J62" s="2276"/>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2078</v>
      </c>
      <c r="B63" s="133"/>
      <c r="C63" s="2276"/>
      <c r="D63" s="2277"/>
      <c r="E63" s="2276"/>
      <c r="F63" s="2276"/>
      <c r="G63" s="2276"/>
      <c r="H63" s="2276"/>
      <c r="I63" s="2276"/>
      <c r="J63" s="2276"/>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40"/>
      <c r="D64" s="2341"/>
      <c r="K64" s="796"/>
      <c r="L64" s="796"/>
    </row>
    <row r="65" spans="1:12" s="962" customFormat="1">
      <c r="A65" s="2340"/>
      <c r="D65" s="2341"/>
      <c r="K65" s="796"/>
      <c r="L65" s="796"/>
    </row>
    <row r="66" spans="1:12" s="962" customFormat="1">
      <c r="A66" s="2340"/>
      <c r="D66" s="2341"/>
      <c r="K66" s="796"/>
      <c r="L66" s="796"/>
    </row>
    <row r="67" spans="1:12" s="962" customFormat="1">
      <c r="A67" s="2340"/>
      <c r="D67" s="2341"/>
      <c r="K67" s="796"/>
      <c r="L67" s="796"/>
    </row>
    <row r="68" spans="1:12" s="962" customFormat="1">
      <c r="A68" s="2340"/>
      <c r="D68" s="2341"/>
      <c r="K68" s="796"/>
      <c r="L68" s="796"/>
    </row>
    <row r="69" spans="1:12" s="962" customFormat="1">
      <c r="A69" s="2340"/>
      <c r="D69" s="2341"/>
      <c r="K69" s="796"/>
      <c r="L69" s="796"/>
    </row>
    <row r="70" spans="1:12" s="962" customFormat="1">
      <c r="A70" s="2340"/>
      <c r="D70" s="2341"/>
      <c r="K70" s="796"/>
      <c r="L70" s="796"/>
    </row>
    <row r="71" spans="1:12" s="962" customFormat="1">
      <c r="A71" s="2340"/>
      <c r="D71" s="2341"/>
      <c r="K71" s="796"/>
      <c r="L71" s="796"/>
    </row>
    <row r="72" spans="1:12" s="962" customFormat="1">
      <c r="A72" s="2340"/>
      <c r="D72" s="2341"/>
      <c r="K72" s="796"/>
      <c r="L72" s="796"/>
    </row>
    <row r="73" spans="1:12" s="962" customFormat="1">
      <c r="A73" s="2340"/>
      <c r="D73" s="2341"/>
      <c r="K73" s="796"/>
      <c r="L73" s="796"/>
    </row>
    <row r="74" spans="1:12" s="962" customFormat="1">
      <c r="A74" s="2340"/>
      <c r="D74" s="2341"/>
      <c r="K74" s="796"/>
      <c r="L74" s="796"/>
    </row>
    <row r="75" spans="1:12" s="962" customFormat="1">
      <c r="A75" s="2340"/>
      <c r="D75" s="2341"/>
      <c r="K75" s="796"/>
      <c r="L75" s="796"/>
    </row>
    <row r="76" spans="1:12" s="962" customFormat="1">
      <c r="A76" s="2340"/>
      <c r="D76" s="2341"/>
      <c r="K76" s="796"/>
      <c r="L76" s="796"/>
    </row>
    <row r="77" spans="1:12" s="962" customFormat="1">
      <c r="A77" s="2340"/>
      <c r="D77" s="2341"/>
      <c r="K77" s="796"/>
      <c r="L77" s="796"/>
    </row>
    <row r="78" spans="1:12" s="962" customFormat="1">
      <c r="A78" s="2340"/>
      <c r="D78" s="2341"/>
      <c r="K78" s="796"/>
      <c r="L78" s="796"/>
    </row>
    <row r="79" spans="1:12" s="962" customFormat="1">
      <c r="A79" s="2340"/>
      <c r="D79" s="2341"/>
      <c r="K79" s="796"/>
      <c r="L79" s="796"/>
    </row>
    <row r="80" spans="1:12" s="962" customFormat="1">
      <c r="A80" s="2340"/>
      <c r="D80" s="2341"/>
      <c r="K80" s="796"/>
      <c r="L80" s="796"/>
    </row>
    <row r="81" spans="1:12" s="962" customFormat="1">
      <c r="A81" s="2340"/>
      <c r="D81" s="2341"/>
      <c r="K81" s="796"/>
      <c r="L81" s="796"/>
    </row>
    <row r="82" spans="1:12" s="962" customFormat="1">
      <c r="A82" s="2340"/>
      <c r="D82" s="2341"/>
      <c r="K82" s="796"/>
      <c r="L82" s="796"/>
    </row>
    <row r="83" spans="1:12" s="962" customFormat="1">
      <c r="A83" s="2340"/>
      <c r="D83" s="2341"/>
      <c r="K83" s="796"/>
      <c r="L83" s="796"/>
    </row>
    <row r="84" spans="1:12" s="962" customFormat="1">
      <c r="A84" s="2340"/>
      <c r="D84" s="2341"/>
      <c r="K84" s="796"/>
      <c r="L84" s="796"/>
    </row>
    <row r="85" spans="1:12" s="962" customFormat="1">
      <c r="A85" s="2340"/>
      <c r="D85" s="2341"/>
      <c r="K85" s="796"/>
      <c r="L85" s="796"/>
    </row>
    <row r="86" spans="1:12" s="962" customFormat="1">
      <c r="A86" s="2340"/>
      <c r="D86" s="2341"/>
      <c r="K86" s="796"/>
      <c r="L86" s="796"/>
    </row>
    <row r="87" spans="1:12" s="962" customFormat="1">
      <c r="A87" s="2340"/>
      <c r="D87" s="2341"/>
      <c r="K87" s="796"/>
      <c r="L87" s="796"/>
    </row>
    <row r="88" spans="1:12" s="962" customFormat="1">
      <c r="A88" s="2340"/>
      <c r="D88" s="2341"/>
      <c r="K88" s="796"/>
      <c r="L88" s="796"/>
    </row>
    <row r="89" spans="1:12" s="962" customFormat="1">
      <c r="A89" s="2340"/>
      <c r="D89" s="2341"/>
      <c r="K89" s="796"/>
      <c r="L89" s="796"/>
    </row>
    <row r="90" spans="1:12" s="962" customFormat="1">
      <c r="A90" s="2340"/>
      <c r="D90" s="2341"/>
      <c r="K90" s="796"/>
      <c r="L90" s="796"/>
    </row>
    <row r="91" spans="1:12" s="962" customFormat="1">
      <c r="A91" s="2340"/>
      <c r="D91" s="2341"/>
      <c r="K91" s="796"/>
      <c r="L91" s="796"/>
    </row>
    <row r="92" spans="1:12" s="962" customFormat="1">
      <c r="A92" s="2340"/>
      <c r="D92" s="2341"/>
      <c r="K92" s="796"/>
      <c r="L92" s="796"/>
    </row>
    <row r="93" spans="1:12" s="962" customFormat="1">
      <c r="A93" s="2340"/>
      <c r="D93" s="2341"/>
      <c r="K93" s="796"/>
      <c r="L93" s="796"/>
    </row>
    <row r="94" spans="1:12" s="962" customFormat="1">
      <c r="A94" s="2340"/>
      <c r="D94" s="2341"/>
      <c r="K94" s="796"/>
      <c r="L94" s="796"/>
    </row>
    <row r="95" spans="1:12" s="962" customFormat="1">
      <c r="A95" s="2340"/>
      <c r="D95" s="2341"/>
      <c r="K95" s="796"/>
      <c r="L95" s="796"/>
    </row>
    <row r="96" spans="1:12" s="962" customFormat="1">
      <c r="A96" s="2340"/>
      <c r="D96" s="2341"/>
      <c r="K96" s="796"/>
      <c r="L96" s="796"/>
    </row>
    <row r="97" spans="1:12" s="962" customFormat="1">
      <c r="A97" s="2340"/>
      <c r="D97" s="2341"/>
      <c r="K97" s="796"/>
      <c r="L97" s="796"/>
    </row>
    <row r="98" spans="1:12" s="962" customFormat="1">
      <c r="A98" s="2340"/>
      <c r="D98" s="2341"/>
      <c r="K98" s="796"/>
      <c r="L98" s="796"/>
    </row>
    <row r="99" spans="1:12" s="962" customFormat="1">
      <c r="A99" s="2340"/>
      <c r="D99" s="2341"/>
      <c r="K99" s="796"/>
      <c r="L99" s="796"/>
    </row>
    <row r="100" spans="1:12" s="962" customFormat="1">
      <c r="A100" s="2340"/>
      <c r="D100" s="2341"/>
      <c r="K100" s="796"/>
      <c r="L100" s="796"/>
    </row>
    <row r="101" spans="1:12" s="962" customFormat="1">
      <c r="A101" s="2340"/>
      <c r="D101" s="2341"/>
      <c r="K101" s="796"/>
      <c r="L101" s="796"/>
    </row>
    <row r="102" spans="1:12" s="962" customFormat="1">
      <c r="A102" s="2340"/>
      <c r="D102" s="2341"/>
      <c r="K102" s="796"/>
      <c r="L102" s="796"/>
    </row>
    <row r="103" spans="1:12" s="962" customFormat="1">
      <c r="A103" s="2340"/>
      <c r="D103" s="2341"/>
      <c r="K103" s="796"/>
      <c r="L103" s="796"/>
    </row>
    <row r="104" spans="1:12" s="962" customFormat="1">
      <c r="A104" s="2340"/>
      <c r="D104" s="2341"/>
      <c r="K104" s="796"/>
      <c r="L104" s="796"/>
    </row>
    <row r="105" spans="1:12" s="962" customFormat="1">
      <c r="A105" s="2340"/>
      <c r="D105" s="2341"/>
      <c r="K105" s="796"/>
      <c r="L105" s="796"/>
    </row>
    <row r="106" spans="1:12" s="962" customFormat="1">
      <c r="A106" s="2340"/>
      <c r="D106" s="2341"/>
      <c r="K106" s="796"/>
      <c r="L106" s="796"/>
    </row>
    <row r="107" spans="1:12" s="962" customFormat="1">
      <c r="A107" s="2340"/>
      <c r="D107" s="2341"/>
      <c r="K107" s="796"/>
      <c r="L107" s="796"/>
    </row>
    <row r="108" spans="1:12" s="962" customFormat="1">
      <c r="A108" s="2340"/>
      <c r="D108" s="2341"/>
      <c r="K108" s="796"/>
      <c r="L108" s="796"/>
    </row>
    <row r="109" spans="1:12" s="962" customFormat="1">
      <c r="A109" s="2340"/>
      <c r="D109" s="2341"/>
      <c r="K109" s="796"/>
      <c r="L109" s="796"/>
    </row>
    <row r="110" spans="1:12" s="962" customFormat="1">
      <c r="A110" s="2340"/>
      <c r="D110" s="2341"/>
      <c r="K110" s="796"/>
      <c r="L110" s="796"/>
    </row>
    <row r="111" spans="1:12" s="962" customFormat="1">
      <c r="A111" s="2340"/>
      <c r="D111" s="2341"/>
      <c r="K111" s="796"/>
      <c r="L111" s="796"/>
    </row>
    <row r="112" spans="1:12" s="962" customFormat="1">
      <c r="A112" s="2340"/>
      <c r="D112" s="2341"/>
      <c r="K112" s="796"/>
      <c r="L112" s="796"/>
    </row>
    <row r="113" spans="1:12" s="962" customFormat="1">
      <c r="A113" s="2340"/>
      <c r="D113" s="2341"/>
      <c r="K113" s="796"/>
      <c r="L113" s="796"/>
    </row>
    <row r="114" spans="1:12" s="962" customFormat="1">
      <c r="A114" s="2340"/>
      <c r="D114" s="2341"/>
      <c r="K114" s="796"/>
      <c r="L114" s="796"/>
    </row>
    <row r="115" spans="1:12" s="962" customFormat="1">
      <c r="A115" s="2340"/>
      <c r="D115" s="2341"/>
      <c r="K115" s="796"/>
      <c r="L115" s="796"/>
    </row>
    <row r="116" spans="1:12" s="962" customFormat="1">
      <c r="A116" s="2340"/>
      <c r="D116" s="2341"/>
      <c r="K116" s="796"/>
      <c r="L116" s="796"/>
    </row>
    <row r="117" spans="1:12" s="962" customFormat="1">
      <c r="A117" s="2340"/>
      <c r="D117" s="2341"/>
      <c r="K117" s="796"/>
      <c r="L117" s="796"/>
    </row>
    <row r="118" spans="1:12" s="962" customFormat="1">
      <c r="A118" s="2340"/>
      <c r="D118" s="2341"/>
      <c r="K118" s="796"/>
      <c r="L118" s="796"/>
    </row>
    <row r="119" spans="1:12" s="962" customFormat="1">
      <c r="A119" s="2340"/>
      <c r="D119" s="2341"/>
      <c r="K119" s="796"/>
      <c r="L119" s="796"/>
    </row>
    <row r="120" spans="1:12" s="962" customFormat="1">
      <c r="A120" s="2340"/>
      <c r="D120" s="2341"/>
      <c r="K120" s="796"/>
      <c r="L120" s="796"/>
    </row>
    <row r="121" spans="1:12" s="962" customFormat="1">
      <c r="A121" s="2340"/>
      <c r="D121" s="2341"/>
      <c r="K121" s="796"/>
      <c r="L121" s="796"/>
    </row>
    <row r="122" spans="1:12" s="962" customFormat="1">
      <c r="A122" s="2340"/>
      <c r="D122" s="2341"/>
      <c r="K122" s="796"/>
      <c r="L122" s="796"/>
    </row>
    <row r="123" spans="1:12" s="962" customFormat="1">
      <c r="A123" s="2340"/>
      <c r="D123" s="2341"/>
      <c r="K123" s="796"/>
      <c r="L123" s="796"/>
    </row>
    <row r="124" spans="1:12" s="962" customFormat="1">
      <c r="A124" s="2340"/>
      <c r="D124" s="2341"/>
      <c r="K124" s="796"/>
      <c r="L124" s="796"/>
    </row>
    <row r="125" spans="1:12" s="962" customFormat="1">
      <c r="A125" s="2340"/>
      <c r="D125" s="2341"/>
      <c r="K125" s="796"/>
      <c r="L125" s="796"/>
    </row>
    <row r="126" spans="1:12" s="962" customFormat="1">
      <c r="A126" s="2340"/>
      <c r="D126" s="2341"/>
      <c r="K126" s="796"/>
      <c r="L126" s="796"/>
    </row>
    <row r="127" spans="1:12" s="962" customFormat="1">
      <c r="A127" s="2340"/>
      <c r="D127" s="2341"/>
      <c r="K127" s="796"/>
      <c r="L127" s="796"/>
    </row>
    <row r="128" spans="1:12" s="962" customFormat="1">
      <c r="A128" s="2340"/>
      <c r="D128" s="2341"/>
      <c r="K128" s="796"/>
      <c r="L128" s="796"/>
    </row>
    <row r="129" spans="1:12" s="962" customFormat="1">
      <c r="A129" s="2340"/>
      <c r="D129" s="2341"/>
      <c r="K129" s="796"/>
      <c r="L129" s="796"/>
    </row>
    <row r="130" spans="1:12" s="962" customFormat="1">
      <c r="A130" s="2340"/>
      <c r="D130" s="2341"/>
      <c r="K130" s="796"/>
      <c r="L130" s="796"/>
    </row>
    <row r="131" spans="1:12" s="962" customFormat="1">
      <c r="A131" s="2340"/>
      <c r="D131" s="2341"/>
      <c r="K131" s="796"/>
      <c r="L131" s="796"/>
    </row>
    <row r="132" spans="1:12" s="962" customFormat="1">
      <c r="A132" s="2340"/>
      <c r="D132" s="2341"/>
      <c r="K132" s="796"/>
      <c r="L132" s="796"/>
    </row>
    <row r="133" spans="1:12" s="962" customFormat="1">
      <c r="A133" s="2340"/>
      <c r="D133" s="2341"/>
      <c r="K133" s="796"/>
      <c r="L133" s="796"/>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4" t="s">
        <v>2082</v>
      </c>
      <c r="B3" s="1266" t="s">
        <v>2083</v>
      </c>
      <c r="C3" s="2369" t="s">
        <v>2084</v>
      </c>
      <c r="D3" s="2370"/>
      <c r="E3" s="430" t="s">
        <v>2082</v>
      </c>
      <c r="F3" s="2371" t="s">
        <v>2085</v>
      </c>
      <c r="G3" s="2372" t="s">
        <v>2086</v>
      </c>
      <c r="H3" s="2367"/>
      <c r="I3" s="2367"/>
      <c r="J3" s="2367"/>
      <c r="K3" s="2367"/>
      <c r="L3" s="2367"/>
      <c r="M3" s="2367"/>
      <c r="N3" s="2367"/>
      <c r="O3" s="2367"/>
      <c r="P3" s="2367"/>
      <c r="Q3" s="2367"/>
      <c r="R3" s="2367"/>
    </row>
    <row r="4" spans="1:29" ht="41.25">
      <c r="A4" s="430"/>
      <c r="B4" s="1793" t="s">
        <v>2087</v>
      </c>
      <c r="C4" s="2373" t="s">
        <v>2088</v>
      </c>
      <c r="D4" s="2370"/>
      <c r="E4" s="2374"/>
      <c r="F4" s="41" t="s">
        <v>2089</v>
      </c>
      <c r="G4" s="2375" t="s">
        <v>2090</v>
      </c>
      <c r="H4" s="2367"/>
      <c r="I4" s="2367"/>
      <c r="J4" s="2367"/>
      <c r="K4" s="2367"/>
      <c r="L4" s="2367"/>
      <c r="M4" s="2367"/>
      <c r="N4" s="2367"/>
      <c r="O4" s="2367"/>
      <c r="P4" s="2367"/>
      <c r="Q4" s="2367"/>
      <c r="R4" s="2367"/>
    </row>
    <row r="5" spans="1:29" ht="41.25">
      <c r="A5" s="430"/>
      <c r="B5" s="1793" t="s">
        <v>2091</v>
      </c>
      <c r="C5" s="2373" t="s">
        <v>2092</v>
      </c>
      <c r="D5" s="2370"/>
      <c r="E5" s="2374"/>
      <c r="F5" s="1793" t="s">
        <v>2093</v>
      </c>
      <c r="G5" s="2375" t="s">
        <v>2094</v>
      </c>
      <c r="H5" s="2367"/>
      <c r="I5" s="2367"/>
      <c r="J5" s="2367"/>
      <c r="K5" s="2367"/>
      <c r="L5" s="2367"/>
      <c r="M5" s="2367"/>
      <c r="N5" s="2367"/>
      <c r="O5" s="2367"/>
      <c r="P5" s="2367"/>
      <c r="Q5" s="2367"/>
      <c r="R5" s="2367"/>
    </row>
    <row r="6" spans="1:29" ht="54">
      <c r="A6" s="430"/>
      <c r="B6" s="1793" t="s">
        <v>2095</v>
      </c>
      <c r="C6" s="2375" t="s">
        <v>2090</v>
      </c>
      <c r="D6" s="2370"/>
      <c r="E6" s="2374"/>
      <c r="F6" s="1793" t="s">
        <v>2096</v>
      </c>
      <c r="G6" s="2375" t="s">
        <v>2097</v>
      </c>
      <c r="H6" s="2367"/>
      <c r="I6" s="2367"/>
      <c r="J6" s="2367"/>
      <c r="K6" s="2367"/>
      <c r="L6" s="2367"/>
      <c r="M6" s="2367"/>
      <c r="N6" s="2367"/>
      <c r="O6" s="2367"/>
      <c r="P6" s="2367"/>
      <c r="Q6" s="2367"/>
      <c r="R6" s="2367"/>
    </row>
    <row r="7" spans="1:29" ht="41.25" thickBot="1">
      <c r="A7" s="430"/>
      <c r="B7" s="1793" t="s">
        <v>2093</v>
      </c>
      <c r="C7" s="2375" t="s">
        <v>2094</v>
      </c>
      <c r="D7" s="2376"/>
      <c r="E7" s="2377"/>
      <c r="F7" s="2378" t="s">
        <v>2098</v>
      </c>
      <c r="G7" s="2379" t="s">
        <v>2099</v>
      </c>
      <c r="H7" s="2367"/>
      <c r="I7" s="2367"/>
      <c r="J7" s="2367"/>
      <c r="K7" s="2367"/>
      <c r="L7" s="2367"/>
      <c r="M7" s="2367"/>
      <c r="N7" s="2367"/>
      <c r="O7" s="2367"/>
      <c r="P7" s="2367"/>
      <c r="Q7" s="2367"/>
      <c r="R7" s="2367"/>
    </row>
    <row r="8" spans="1:29" ht="27">
      <c r="A8" s="430"/>
      <c r="B8" s="1793" t="s">
        <v>2096</v>
      </c>
      <c r="C8" s="2375" t="s">
        <v>2097</v>
      </c>
      <c r="D8" s="2376"/>
      <c r="E8" s="2376"/>
      <c r="F8" s="1131"/>
      <c r="G8" s="1131"/>
      <c r="H8" s="2367"/>
      <c r="I8" s="2367"/>
      <c r="J8" s="2367"/>
      <c r="K8" s="2367"/>
      <c r="L8" s="2367"/>
      <c r="M8" s="2367"/>
      <c r="N8" s="2367"/>
      <c r="O8" s="2367"/>
      <c r="P8" s="2367"/>
      <c r="Q8" s="2367"/>
      <c r="R8" s="2367"/>
    </row>
    <row r="9" spans="1:29" ht="27">
      <c r="A9" s="430"/>
      <c r="B9" s="1793" t="s">
        <v>2100</v>
      </c>
      <c r="C9" s="2373" t="s">
        <v>2101</v>
      </c>
      <c r="D9" s="2370"/>
      <c r="E9" s="2376"/>
      <c r="F9" s="1131"/>
      <c r="G9" s="1131"/>
      <c r="H9" s="2367"/>
      <c r="I9" s="2367"/>
      <c r="J9" s="2367"/>
      <c r="K9" s="2367"/>
      <c r="L9" s="2367"/>
      <c r="M9" s="2367"/>
      <c r="N9" s="2367"/>
      <c r="O9" s="2367"/>
      <c r="P9" s="2367"/>
      <c r="Q9" s="2367"/>
      <c r="R9" s="2367"/>
    </row>
    <row r="10" spans="1:29" s="116" customFormat="1" ht="15.75" thickBot="1">
      <c r="A10" s="2380"/>
      <c r="B10" s="2381" t="s">
        <v>2102</v>
      </c>
      <c r="C10" s="2382"/>
      <c r="D10" s="2370"/>
      <c r="E10" s="2370"/>
      <c r="F10" s="1131"/>
      <c r="G10" s="1131"/>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49"/>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49"/>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7" t="s">
        <v>2106</v>
      </c>
      <c r="B15" s="1265" t="s">
        <v>2083</v>
      </c>
      <c r="C15" s="2402" t="str">
        <f>C3</f>
        <v>估价对象周边居住用地比例、居住小区规模和社区发展完善程度，综合评价居住社区成熟度一般</v>
      </c>
      <c r="D15" s="2370"/>
      <c r="E15" s="2403" t="s">
        <v>2107</v>
      </c>
      <c r="F15" s="1265" t="s">
        <v>2108</v>
      </c>
      <c r="G15" s="134" t="str">
        <f>G3</f>
        <v>估价对象位于XX开发区，园区建设成熟度XX，产业集聚程度XX</v>
      </c>
    </row>
    <row r="16" spans="1:29" ht="42.75">
      <c r="A16" s="644"/>
      <c r="B16" s="2404" t="s">
        <v>2087</v>
      </c>
      <c r="C16" s="2405" t="str">
        <f>C4</f>
        <v>估价对象位于XX商圈，周边商业氛围成熟，人流量大，商业繁华度好</v>
      </c>
      <c r="D16" s="2370"/>
      <c r="E16" s="2406"/>
      <c r="F16" s="2407" t="s">
        <v>2089</v>
      </c>
      <c r="G16" s="135" t="str">
        <f>G4</f>
        <v>估价对象周边道路状况、公共交通通达情况、停车便捷程度，综合评价交通便捷度较好</v>
      </c>
    </row>
    <row r="17" spans="1:18" ht="42.75">
      <c r="A17" s="644"/>
      <c r="B17" s="2404" t="s">
        <v>2091</v>
      </c>
      <c r="C17" s="2405" t="str">
        <f>C5</f>
        <v>估价对象位于XX商圈，周边办公楼项目较多，入驻率高，办公集聚程度较好</v>
      </c>
      <c r="D17" s="2376"/>
      <c r="E17" s="2406"/>
      <c r="F17" s="2407" t="s">
        <v>2109</v>
      </c>
      <c r="G17" s="1567"/>
    </row>
    <row r="18" spans="1:18" ht="57">
      <c r="A18" s="644"/>
      <c r="B18" s="2407" t="s">
        <v>2095</v>
      </c>
      <c r="C18" s="135" t="str">
        <f>C6</f>
        <v>估价对象周边道路状况、公共交通通达情况、停车便捷程度，综合评价交通便捷度较好</v>
      </c>
      <c r="D18" s="2376"/>
      <c r="E18" s="2406"/>
      <c r="F18" s="2407" t="s">
        <v>2098</v>
      </c>
      <c r="G18" s="135" t="str">
        <f>G7</f>
        <v>该园区内是否有污染型企业，绿化情况，卫生条件，整体环境状况判断</v>
      </c>
    </row>
    <row r="19" spans="1:18" ht="28.5">
      <c r="A19" s="644"/>
      <c r="B19" s="2407" t="s">
        <v>2110</v>
      </c>
      <c r="C19" s="1567"/>
      <c r="D19" s="2370"/>
      <c r="E19" s="2406"/>
      <c r="F19" s="1793" t="s">
        <v>2093</v>
      </c>
      <c r="G19" s="135" t="str">
        <f>G5</f>
        <v>估价对象所在区域公共配套设施齐备情况</v>
      </c>
    </row>
    <row r="20" spans="1:18" ht="28.5">
      <c r="A20" s="644"/>
      <c r="B20" s="2407" t="s">
        <v>2111</v>
      </c>
      <c r="C20" s="2405" t="str">
        <f>C9</f>
        <v>区域自然环境：；人文环境；综合评价环境状况一般</v>
      </c>
      <c r="D20" s="2376"/>
      <c r="E20" s="2406"/>
      <c r="F20" s="1793" t="s">
        <v>2112</v>
      </c>
      <c r="G20" s="135" t="str">
        <f>G6</f>
        <v>估价对象所在区域基础设施水平</v>
      </c>
    </row>
    <row r="21" spans="1:18" ht="28.5">
      <c r="A21" s="644"/>
      <c r="B21" s="1793" t="s">
        <v>2093</v>
      </c>
      <c r="C21" s="135" t="str">
        <f>C7</f>
        <v>估价对象所在区域公共配套设施齐备情况</v>
      </c>
      <c r="D21" s="2370"/>
      <c r="E21" s="2406"/>
      <c r="F21" s="2407" t="s">
        <v>2113</v>
      </c>
      <c r="G21" s="2408"/>
    </row>
    <row r="22" spans="1:18" ht="13.5" customHeight="1">
      <c r="A22" s="644"/>
      <c r="B22" s="1793" t="s">
        <v>2096</v>
      </c>
      <c r="C22" s="135" t="str">
        <f>C8</f>
        <v>估价对象所在区域基础设施水平</v>
      </c>
      <c r="D22" s="2370"/>
      <c r="E22" s="2406"/>
      <c r="F22" s="2407" t="s">
        <v>2102</v>
      </c>
      <c r="G22" s="1567"/>
    </row>
    <row r="23" spans="1:18" s="2367" customFormat="1" ht="15.75" thickBot="1">
      <c r="A23" s="644"/>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2215.16</v>
      </c>
      <c r="C1" s="1740"/>
      <c r="D1" s="1740"/>
      <c r="E1" s="1740"/>
      <c r="F1" s="1740"/>
      <c r="G1" s="1738"/>
    </row>
    <row r="2" spans="1:10" ht="16.5">
      <c r="A2" s="1741" t="s">
        <v>1349</v>
      </c>
      <c r="B2" s="1741">
        <f>SUM(C14:C23)</f>
        <v>95.610000000000014</v>
      </c>
      <c r="C2" s="1740"/>
      <c r="D2" s="1740"/>
      <c r="E2" s="1740"/>
      <c r="F2" s="1740"/>
      <c r="G2" s="1738"/>
    </row>
    <row r="3" spans="1:10" ht="16.5">
      <c r="A3" s="1741" t="s">
        <v>1358</v>
      </c>
      <c r="B3" s="1742">
        <f>项目基本情况!D3</f>
        <v>43656</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2580</v>
      </c>
      <c r="C5" s="1741">
        <f ca="1">ROUND(B5*10000/$B$1,0)</f>
        <v>11647</v>
      </c>
      <c r="D5" s="1741">
        <f ca="1">ROUND(B5*10000/$B$2,0)</f>
        <v>269846</v>
      </c>
      <c r="E5" s="1740"/>
      <c r="F5" s="1738"/>
      <c r="G5" s="1738"/>
    </row>
    <row r="6" spans="1:10" ht="16.5">
      <c r="A6" s="1741" t="s">
        <v>1352</v>
      </c>
      <c r="B6" s="1741">
        <f ca="1">SUM(G14:G23)</f>
        <v>2580</v>
      </c>
      <c r="C6" s="1741">
        <f ca="1">ROUND(B6*10000/$B$1,0)</f>
        <v>11647</v>
      </c>
      <c r="D6" s="1741">
        <f ca="1">ROUND(B6*10000/$B$2,0)</f>
        <v>269846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2215.16</v>
      </c>
      <c r="C14" s="1739">
        <f>结果表!C118</f>
        <v>95.610000000000014</v>
      </c>
      <c r="D14" s="1739">
        <f ca="1">结果表!H118</f>
        <v>2580</v>
      </c>
      <c r="E14" s="1739">
        <f ca="1">ROUND(D14*10000/B14,0)</f>
        <v>11647</v>
      </c>
      <c r="F14" s="1739">
        <f ca="1">ROUND(D14*10000/C14,0)</f>
        <v>269846</v>
      </c>
      <c r="G14" s="1739">
        <f ca="1">结果表!D122</f>
        <v>2580</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2116</v>
      </c>
      <c r="B1" s="2418"/>
      <c r="C1" s="2419"/>
      <c r="D1" s="2418"/>
      <c r="E1" s="2418"/>
      <c r="F1" s="2420" t="s">
        <v>2117</v>
      </c>
      <c r="G1" s="2069" t="s">
        <v>2118</v>
      </c>
      <c r="H1" s="2421" t="str">
        <f>IF(G1="现房","——","估价对象范围")</f>
        <v>估价对象范围</v>
      </c>
      <c r="I1" s="2422"/>
    </row>
    <row r="2" spans="1:12" ht="21.75" customHeight="1" thickBot="1">
      <c r="A2" s="3150" t="str">
        <f>项目基本情况!S2</f>
        <v>出让国有建设用地使用权及在建建筑物房地产</v>
      </c>
      <c r="B2" s="3151"/>
      <c r="C2" s="3151"/>
      <c r="D2" s="3151"/>
      <c r="E2" s="3151"/>
      <c r="F2" s="3151"/>
      <c r="G2" s="3151"/>
      <c r="H2" s="3151"/>
      <c r="I2" s="3152"/>
    </row>
    <row r="3" spans="1:12" ht="12.75">
      <c r="A3" s="3153" t="s">
        <v>2119</v>
      </c>
      <c r="B3" s="3154"/>
      <c r="C3" s="3154"/>
      <c r="D3" s="3154"/>
      <c r="E3" s="3154"/>
      <c r="F3" s="3154"/>
      <c r="G3" s="3154"/>
      <c r="H3" s="3154"/>
      <c r="I3" s="3154"/>
    </row>
    <row r="4" spans="1:12" ht="14.25">
      <c r="A4" s="2425" t="s">
        <v>2120</v>
      </c>
      <c r="B4" s="2426" t="s">
        <v>2121</v>
      </c>
      <c r="C4" s="2427" t="s">
        <v>3112</v>
      </c>
      <c r="D4" s="2427" t="s">
        <v>3112</v>
      </c>
      <c r="E4" s="3134" t="s">
        <v>2122</v>
      </c>
      <c r="F4" s="3147"/>
      <c r="G4" s="3147"/>
      <c r="H4" s="3147"/>
      <c r="I4" s="3135"/>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5" t="s">
        <v>2123</v>
      </c>
      <c r="B5" s="3051">
        <v>25</v>
      </c>
      <c r="C5" s="3155"/>
      <c r="D5" s="3143"/>
      <c r="E5" s="139" t="s">
        <v>2124</v>
      </c>
      <c r="F5" s="2429"/>
      <c r="G5" s="2429"/>
      <c r="H5" s="2429"/>
      <c r="I5" s="1829"/>
    </row>
    <row r="6" spans="1:12" ht="12.75">
      <c r="A6" s="3125"/>
      <c r="B6" s="3051"/>
      <c r="C6" s="3157"/>
      <c r="D6" s="3143"/>
      <c r="E6" s="139" t="s">
        <v>2125</v>
      </c>
      <c r="F6" s="2429"/>
      <c r="G6" s="2429"/>
      <c r="H6" s="2429"/>
      <c r="I6" s="1829"/>
    </row>
    <row r="7" spans="1:12" ht="12.75">
      <c r="A7" s="3125"/>
      <c r="B7" s="3051"/>
      <c r="C7" s="3156"/>
      <c r="D7" s="3143"/>
      <c r="E7" s="139" t="s">
        <v>2126</v>
      </c>
      <c r="F7" s="2429"/>
      <c r="G7" s="2429"/>
      <c r="H7" s="2429"/>
      <c r="I7" s="1829"/>
    </row>
    <row r="8" spans="1:12" ht="12.75">
      <c r="A8" s="3125" t="s">
        <v>2127</v>
      </c>
      <c r="B8" s="3051">
        <v>15</v>
      </c>
      <c r="C8" s="3155"/>
      <c r="D8" s="3143"/>
      <c r="E8" s="139" t="s">
        <v>2128</v>
      </c>
      <c r="F8" s="2429"/>
      <c r="G8" s="2429"/>
      <c r="H8" s="2429"/>
      <c r="I8" s="1829"/>
    </row>
    <row r="9" spans="1:12" ht="12.75">
      <c r="A9" s="3125"/>
      <c r="B9" s="3051"/>
      <c r="C9" s="3156"/>
      <c r="D9" s="3143"/>
      <c r="E9" s="139" t="s">
        <v>2129</v>
      </c>
      <c r="F9" s="2429"/>
      <c r="G9" s="2429"/>
      <c r="H9" s="2429"/>
      <c r="I9" s="1829"/>
    </row>
    <row r="10" spans="1:12" ht="12.75">
      <c r="A10" s="3125" t="s">
        <v>2130</v>
      </c>
      <c r="B10" s="3051">
        <v>15</v>
      </c>
      <c r="C10" s="3155"/>
      <c r="D10" s="3143"/>
      <c r="E10" s="139" t="s">
        <v>2131</v>
      </c>
      <c r="F10" s="2429"/>
      <c r="G10" s="2429"/>
      <c r="H10" s="2429"/>
      <c r="I10" s="1829"/>
    </row>
    <row r="11" spans="1:12" ht="12.75">
      <c r="A11" s="3125"/>
      <c r="B11" s="3051"/>
      <c r="C11" s="3156"/>
      <c r="D11" s="3143"/>
      <c r="E11" s="139" t="s">
        <v>2132</v>
      </c>
      <c r="F11" s="2429"/>
      <c r="G11" s="2429"/>
      <c r="H11" s="2429"/>
      <c r="I11" s="1829"/>
    </row>
    <row r="12" spans="1:12" ht="12.75">
      <c r="A12" s="3125" t="s">
        <v>2133</v>
      </c>
      <c r="B12" s="3051">
        <v>15</v>
      </c>
      <c r="C12" s="3155"/>
      <c r="D12" s="3143"/>
      <c r="E12" s="139" t="s">
        <v>2134</v>
      </c>
      <c r="F12" s="2429"/>
      <c r="G12" s="2429"/>
      <c r="H12" s="2429"/>
      <c r="I12" s="1829"/>
    </row>
    <row r="13" spans="1:12" ht="12.75">
      <c r="A13" s="3125"/>
      <c r="B13" s="3051"/>
      <c r="C13" s="3156"/>
      <c r="D13" s="3143"/>
      <c r="E13" s="139" t="s">
        <v>2135</v>
      </c>
      <c r="F13" s="2429"/>
      <c r="G13" s="2429"/>
      <c r="H13" s="2429"/>
      <c r="I13" s="1829"/>
    </row>
    <row r="14" spans="1:12" ht="12.75">
      <c r="A14" s="3125" t="s">
        <v>2136</v>
      </c>
      <c r="B14" s="3051">
        <v>30</v>
      </c>
      <c r="C14" s="3155">
        <v>1</v>
      </c>
      <c r="D14" s="3143">
        <v>0</v>
      </c>
      <c r="E14" s="139" t="s">
        <v>2137</v>
      </c>
      <c r="F14" s="2429"/>
      <c r="G14" s="2429"/>
      <c r="H14" s="2429"/>
      <c r="I14" s="1829"/>
    </row>
    <row r="15" spans="1:12" ht="12.75">
      <c r="A15" s="3125"/>
      <c r="B15" s="3051"/>
      <c r="C15" s="3157"/>
      <c r="D15" s="3143"/>
      <c r="E15" s="139" t="s">
        <v>2138</v>
      </c>
      <c r="F15" s="2429"/>
      <c r="G15" s="2429"/>
      <c r="H15" s="2429"/>
      <c r="I15" s="1829"/>
    </row>
    <row r="16" spans="1:12" ht="12.75">
      <c r="A16" s="3125"/>
      <c r="B16" s="3051"/>
      <c r="C16" s="3156"/>
      <c r="D16" s="3143"/>
      <c r="E16" s="139" t="s">
        <v>2139</v>
      </c>
      <c r="F16" s="2429"/>
      <c r="G16" s="2429"/>
      <c r="H16" s="2429"/>
      <c r="I16" s="1829"/>
    </row>
    <row r="17" spans="1:35" ht="15">
      <c r="A17" s="2430" t="s">
        <v>2140</v>
      </c>
      <c r="B17" s="63"/>
      <c r="C17" s="140">
        <f>SUM(C5:C16)</f>
        <v>1</v>
      </c>
      <c r="D17" s="140">
        <f>SUM(D5:D16)</f>
        <v>0</v>
      </c>
      <c r="E17" s="137"/>
      <c r="F17" s="137"/>
      <c r="G17" s="137"/>
      <c r="H17" s="137"/>
      <c r="I17" s="137"/>
      <c r="K17" s="2428"/>
      <c r="L17" s="2431" t="s">
        <v>2141</v>
      </c>
      <c r="M17" s="2431" t="s">
        <v>2142</v>
      </c>
    </row>
    <row r="18" spans="1:35" ht="15.75" thickBot="1">
      <c r="A18" s="2432" t="s">
        <v>2143</v>
      </c>
      <c r="B18" s="2433"/>
      <c r="C18" s="141">
        <f>ROUND(C17/SUM(C17:D17),2)</f>
        <v>1</v>
      </c>
      <c r="D18" s="141">
        <f>1-C18</f>
        <v>0</v>
      </c>
      <c r="E18" s="137"/>
      <c r="F18" s="137"/>
      <c r="G18" s="137"/>
      <c r="H18" s="137"/>
      <c r="I18" s="137"/>
      <c r="K18" s="2428" t="s">
        <v>2144</v>
      </c>
      <c r="L18" s="2428">
        <f>IF(C1="",'数据-汇总表'!E3,SUMIF(项目类型,C1,'数据-汇总表'!E17:E26)+SUMIF(项目类型,C1,'数据-汇总表'!I17:I26))</f>
        <v>2215.16</v>
      </c>
      <c r="M18" s="2428">
        <f>IF(C1="",'数据-汇总表'!E3,SUMIF(项目类型,C1,'数据-汇总表'!E17:E26))</f>
        <v>2215.16</v>
      </c>
    </row>
    <row r="19" spans="1:35" ht="15">
      <c r="A19" s="2434" t="s">
        <v>2145</v>
      </c>
      <c r="B19" s="2435" t="s">
        <v>2146</v>
      </c>
      <c r="C19" s="142">
        <f ca="1">SUMIF(INDIRECT("'"&amp;C4&amp;"'"&amp;"!A:A"),结果表!B19,INDIRECT("'"&amp;C4&amp;"'"&amp;"!B:B"))</f>
        <v>2580</v>
      </c>
      <c r="D19" s="143">
        <f ca="1">SUMIF(INDIRECT("'"&amp;D4&amp;"'"&amp;"!A:A"),结果表!B19,INDIRECT("'"&amp;D4&amp;"'"&amp;"!B:B"))</f>
        <v>2580</v>
      </c>
      <c r="E19" s="2434" t="s">
        <v>2147</v>
      </c>
      <c r="F19" s="2435" t="s">
        <v>2146</v>
      </c>
      <c r="G19" s="144">
        <f ca="1">ROUND(C19*$C$18+D19*$D$18,0)</f>
        <v>2580</v>
      </c>
      <c r="H19" s="2436" t="s">
        <v>2148</v>
      </c>
      <c r="I19" s="137"/>
      <c r="K19" s="2428" t="s">
        <v>2149</v>
      </c>
      <c r="L19" s="2428">
        <f>IF(C1="",'数据-汇总表'!D3,SUMIF(项目类型,C1,'数据-汇总表'!D17:D26)+SUMIF(项目类型,C1,'数据-汇总表'!H17:H27))</f>
        <v>95.610000000000014</v>
      </c>
      <c r="M19" s="2428">
        <f>IF(C1="",'数据-汇总表'!D3,SUMIF(项目类型,C1,'数据-汇总表'!D17:D26))</f>
        <v>95.610000000000014</v>
      </c>
    </row>
    <row r="20" spans="1:35" ht="15">
      <c r="A20" s="2437"/>
      <c r="B20" s="1245" t="s">
        <v>2150</v>
      </c>
      <c r="C20" s="145">
        <f ca="1">SUMIF(INDIRECT("'"&amp;C4&amp;"'"&amp;"!A:A"),结果表!B20,INDIRECT("'"&amp;C4&amp;"'"&amp;"!B:B"))</f>
        <v>11647</v>
      </c>
      <c r="D20" s="146">
        <f ca="1">SUMIF(INDIRECT("'"&amp;D4&amp;"'"&amp;"!A:A"),结果表!B20,INDIRECT("'"&amp;D4&amp;"'"&amp;"!B:B"))</f>
        <v>11647</v>
      </c>
      <c r="E20" s="2437"/>
      <c r="F20" s="1245" t="s">
        <v>2150</v>
      </c>
      <c r="G20" s="147">
        <f ca="1">ROUND(C20*$C$18+D20*$D$18,0)</f>
        <v>11647</v>
      </c>
      <c r="H20" s="978" t="s">
        <v>2151</v>
      </c>
      <c r="I20" s="137"/>
    </row>
    <row r="21" spans="1:35" ht="15" customHeight="1" thickBot="1">
      <c r="A21" s="998"/>
      <c r="B21" s="2438" t="s">
        <v>2152</v>
      </c>
      <c r="C21" s="787">
        <f ca="1">ROUND(C19*10000/L19,0)</f>
        <v>269846</v>
      </c>
      <c r="D21" s="788">
        <f ca="1">ROUND(D19*10000/L19,0)</f>
        <v>269846</v>
      </c>
      <c r="E21" s="998"/>
      <c r="F21" s="2438" t="s">
        <v>2152</v>
      </c>
      <c r="G21" s="148">
        <f ca="1">ROUND(G19*10000/L19,0)</f>
        <v>269846</v>
      </c>
      <c r="H21" s="2439" t="s">
        <v>2151</v>
      </c>
      <c r="I21" s="137"/>
    </row>
    <row r="22" spans="1:35" ht="15" thickBot="1">
      <c r="A22" s="2280" t="s">
        <v>2153</v>
      </c>
      <c r="B22" s="2440"/>
      <c r="C22" s="2441"/>
      <c r="D22" s="789">
        <f ca="1">IF(C19&lt;D19,D19/C19-1,C19/D19-1)</f>
        <v>0</v>
      </c>
      <c r="E22" s="137"/>
      <c r="F22" s="137"/>
      <c r="G22" s="137"/>
      <c r="H22" s="137"/>
      <c r="I22" s="137"/>
    </row>
    <row r="23" spans="1:35" ht="13.5" thickBot="1">
      <c r="A23" s="2418"/>
      <c r="B23" s="2418"/>
      <c r="C23" s="2418"/>
      <c r="D23" s="2418"/>
      <c r="E23" s="137"/>
      <c r="F23" s="137"/>
      <c r="G23" s="137"/>
      <c r="H23" s="137"/>
      <c r="I23" s="137"/>
    </row>
    <row r="24" spans="1:35" ht="14.25">
      <c r="A24" s="3164" t="s">
        <v>2154</v>
      </c>
      <c r="B24" s="2435" t="s">
        <v>2146</v>
      </c>
      <c r="C24" s="144">
        <f>IF(B30=0,0,D30)</f>
        <v>0</v>
      </c>
      <c r="D24" s="2442"/>
      <c r="E24" s="137"/>
      <c r="F24" s="137"/>
      <c r="G24" s="137"/>
      <c r="H24" s="137"/>
      <c r="I24" s="137"/>
    </row>
    <row r="25" spans="1:35" ht="14.25">
      <c r="A25" s="3165"/>
      <c r="B25" s="1245" t="s">
        <v>2150</v>
      </c>
      <c r="C25" s="149">
        <f>IF(B30=0,0,C30)</f>
        <v>0</v>
      </c>
      <c r="D25" s="2443"/>
      <c r="E25" s="137"/>
      <c r="F25" s="137"/>
      <c r="G25" s="137"/>
      <c r="H25" s="137"/>
      <c r="I25" s="137"/>
    </row>
    <row r="26" spans="1:35" ht="13.5" customHeight="1">
      <c r="A26" s="2444" t="s">
        <v>2155</v>
      </c>
      <c r="B26" s="150" t="s">
        <v>2156</v>
      </c>
      <c r="C26" s="150" t="s">
        <v>2157</v>
      </c>
      <c r="D26" s="151" t="s">
        <v>2158</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2159</v>
      </c>
      <c r="B30" s="150"/>
      <c r="C30" s="150"/>
      <c r="D30" s="150"/>
      <c r="E30" s="2917" t="s">
        <v>3033</v>
      </c>
      <c r="F30" s="137"/>
      <c r="G30" s="137"/>
      <c r="H30" s="137"/>
      <c r="I30" s="137"/>
    </row>
    <row r="31" spans="1:35" s="2446" customFormat="1" ht="15" thickBot="1">
      <c r="A31" s="2445"/>
      <c r="B31" s="2445"/>
      <c r="C31" s="2445"/>
      <c r="D31" s="2445"/>
      <c r="E31" s="137"/>
      <c r="F31" s="137"/>
      <c r="G31" s="137"/>
      <c r="H31" s="137"/>
      <c r="I31" s="137"/>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2160</v>
      </c>
      <c r="B32" s="2448"/>
      <c r="C32" s="152">
        <f ca="1">IF(D32="总价",G19-C24,G20-C25)</f>
        <v>2580</v>
      </c>
      <c r="D32" s="2449" t="s">
        <v>2161</v>
      </c>
      <c r="E32" s="137"/>
      <c r="F32" s="137"/>
      <c r="G32" s="137"/>
      <c r="H32" s="137"/>
      <c r="I32" s="137"/>
    </row>
    <row r="33" spans="1:15" ht="15">
      <c r="A33" s="955" t="s">
        <v>2162</v>
      </c>
      <c r="B33" s="2450"/>
      <c r="C33" s="2451"/>
      <c r="D33" s="2452"/>
      <c r="E33" s="2453" t="s">
        <v>2163</v>
      </c>
      <c r="F33" s="2454" t="str">
        <f>IF(D32="楼面单价","取值（单价）","取值（总价）")</f>
        <v>取值（总价）</v>
      </c>
      <c r="G33" s="137"/>
      <c r="H33" s="137"/>
      <c r="I33" s="137"/>
    </row>
    <row r="34" spans="1:15" ht="15">
      <c r="A34" s="2455"/>
      <c r="B34" s="2456"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7" t="s">
        <v>2165</v>
      </c>
      <c r="F34" s="1734"/>
      <c r="G34" s="137"/>
      <c r="H34" s="137"/>
      <c r="I34" s="137"/>
    </row>
    <row r="35" spans="1:15" ht="15.75" thickBot="1">
      <c r="A35" s="2458"/>
      <c r="B35" s="2459"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2167</v>
      </c>
      <c r="F35" s="162"/>
      <c r="G35" s="137"/>
      <c r="H35" s="137"/>
      <c r="I35" s="137"/>
    </row>
    <row r="36" spans="1:15" ht="15.75" thickBot="1">
      <c r="A36" s="3144" t="s">
        <v>2168</v>
      </c>
      <c r="B36" s="2461" t="s">
        <v>2169</v>
      </c>
      <c r="C36" s="153"/>
      <c r="D36" s="2462"/>
      <c r="E36" s="2463"/>
      <c r="F36" s="2464"/>
      <c r="G36" s="137"/>
      <c r="H36" s="137"/>
      <c r="I36" s="137"/>
    </row>
    <row r="37" spans="1:15" ht="15.75" thickBot="1">
      <c r="A37" s="3145"/>
      <c r="B37" s="2266" t="s">
        <v>2170</v>
      </c>
      <c r="C37" s="155"/>
      <c r="D37" s="1390"/>
      <c r="E37" s="1390"/>
      <c r="F37" s="2464"/>
      <c r="G37" s="137"/>
      <c r="H37" s="137"/>
      <c r="I37" s="137"/>
    </row>
    <row r="38" spans="1:15" ht="15.75" thickBot="1">
      <c r="A38" s="3146"/>
      <c r="B38" s="2465" t="s">
        <v>2171</v>
      </c>
      <c r="C38" s="725"/>
      <c r="D38" s="2466" t="s">
        <v>2172</v>
      </c>
      <c r="E38" s="1390"/>
      <c r="F38" s="2464"/>
      <c r="G38" s="137"/>
      <c r="H38" s="137"/>
      <c r="I38" s="137"/>
    </row>
    <row r="39" spans="1:15" ht="15">
      <c r="A39" s="2437" t="s">
        <v>2173</v>
      </c>
      <c r="B39" s="2467" t="s">
        <v>2174</v>
      </c>
      <c r="C39" s="2468" t="s">
        <v>2175</v>
      </c>
      <c r="D39" s="2468" t="s">
        <v>2176</v>
      </c>
      <c r="E39" s="2469" t="s">
        <v>2177</v>
      </c>
      <c r="F39" s="2464"/>
      <c r="G39" s="137"/>
      <c r="H39" s="137"/>
      <c r="I39" s="137"/>
    </row>
    <row r="40" spans="1:15" ht="14.25">
      <c r="A40" s="2470" t="s">
        <v>2178</v>
      </c>
      <c r="B40" s="157"/>
      <c r="C40" s="158"/>
      <c r="D40" s="158"/>
      <c r="E40" s="159"/>
      <c r="F40" s="2464"/>
      <c r="G40" s="137"/>
      <c r="H40" s="137"/>
      <c r="I40" s="137"/>
    </row>
    <row r="41" spans="1:15" ht="14.25">
      <c r="A41" s="2470" t="s">
        <v>2179</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1" t="s">
        <v>2182</v>
      </c>
      <c r="B45" s="3162"/>
      <c r="C45" s="3163"/>
      <c r="D45" s="163">
        <f ca="1">ROUND(H101*F45,0)</f>
        <v>2580</v>
      </c>
      <c r="E45" s="164" t="s">
        <v>2183</v>
      </c>
      <c r="F45" s="165">
        <v>1</v>
      </c>
      <c r="G45" s="166" t="s">
        <v>2184</v>
      </c>
      <c r="H45" s="137"/>
      <c r="I45" s="137"/>
      <c r="J45" s="3080" t="s">
        <v>2185</v>
      </c>
      <c r="K45" s="3080"/>
      <c r="L45" s="3080"/>
      <c r="M45" s="3080"/>
      <c r="N45" s="3080"/>
      <c r="O45" s="3080"/>
    </row>
    <row r="46" spans="1:15" ht="14.25" customHeight="1">
      <c r="A46" s="3158" t="s">
        <v>2186</v>
      </c>
      <c r="B46" s="3159"/>
      <c r="C46" s="3159"/>
      <c r="D46" s="3159"/>
      <c r="E46" s="3159"/>
      <c r="F46" s="3159"/>
      <c r="G46" s="3160"/>
      <c r="H46" s="2480"/>
      <c r="I46" s="167"/>
      <c r="J46" s="1807">
        <v>1</v>
      </c>
      <c r="K46" s="3080" t="s">
        <v>2187</v>
      </c>
      <c r="L46" s="3080"/>
      <c r="M46" s="3081"/>
      <c r="N46" s="3081"/>
      <c r="O46" s="3081"/>
    </row>
    <row r="47" spans="1:15" ht="12" customHeight="1">
      <c r="A47" s="168" t="s">
        <v>2188</v>
      </c>
      <c r="B47" s="169"/>
      <c r="C47" s="170"/>
      <c r="D47" s="171" t="s">
        <v>2189</v>
      </c>
      <c r="E47" s="23" t="s">
        <v>2190</v>
      </c>
      <c r="F47" s="172" t="s">
        <v>2191</v>
      </c>
      <c r="G47" s="173" t="s">
        <v>2192</v>
      </c>
      <c r="H47" s="2480"/>
      <c r="I47" s="167"/>
      <c r="J47" s="1807">
        <v>2</v>
      </c>
      <c r="K47" s="3080" t="s">
        <v>2193</v>
      </c>
      <c r="L47" s="3080"/>
      <c r="M47" s="3082">
        <f>'数据-取费表'!B2</f>
        <v>43656</v>
      </c>
      <c r="N47" s="3082"/>
      <c r="O47" s="3082"/>
    </row>
    <row r="48" spans="1:15" ht="25.5">
      <c r="A48" s="3148" t="s">
        <v>2194</v>
      </c>
      <c r="B48" s="3149"/>
      <c r="C48" s="3149"/>
      <c r="D48" s="139">
        <f>IF(H48="情况1",0,IF(H48="情况2",D52,IF(H48="情况3",D53,IF(H48="情况4",D54))))</f>
        <v>0</v>
      </c>
      <c r="E48" s="1796" t="str">
        <f>IF(H48="情况4","(销售额-原购置价)×税（费）率","销售额×税（费）率")</f>
        <v>销售额×税（费）率</v>
      </c>
      <c r="F48" s="174" t="str">
        <f>IF(H48="情况1","免征",'数据-取费表'!B41)</f>
        <v>免征</v>
      </c>
      <c r="G48" s="2481" t="s">
        <v>2195</v>
      </c>
      <c r="H48" s="2482" t="s">
        <v>2196</v>
      </c>
      <c r="I48" s="2480"/>
      <c r="J48" s="1807">
        <v>3</v>
      </c>
      <c r="K48" s="3080" t="s">
        <v>2197</v>
      </c>
      <c r="L48" s="3080"/>
      <c r="M48" s="3083">
        <f ca="1">H101</f>
        <v>2580</v>
      </c>
      <c r="N48" s="3083"/>
      <c r="O48" s="3083"/>
    </row>
    <row r="49" spans="1:35" ht="25.5" customHeight="1">
      <c r="A49" s="175" t="s">
        <v>2198</v>
      </c>
      <c r="B49" s="3128" t="s">
        <v>2199</v>
      </c>
      <c r="C49" s="3128"/>
      <c r="D49" s="176">
        <v>0</v>
      </c>
      <c r="E49" s="22" t="s">
        <v>2200</v>
      </c>
      <c r="F49" s="27" t="s">
        <v>34</v>
      </c>
      <c r="G49" s="3109"/>
      <c r="H49" s="137"/>
      <c r="I49" s="2483"/>
      <c r="J49" s="1807">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customHeight="1">
      <c r="A50" s="177"/>
      <c r="B50" s="3128" t="s">
        <v>2201</v>
      </c>
      <c r="C50" s="3128"/>
      <c r="D50" s="178"/>
      <c r="E50" s="30"/>
      <c r="F50" s="179"/>
      <c r="G50" s="3110"/>
      <c r="H50" s="137"/>
      <c r="I50" s="2483"/>
      <c r="J50" s="3080" t="s">
        <v>2202</v>
      </c>
      <c r="K50" s="3080"/>
      <c r="L50" s="3080"/>
      <c r="M50" s="3080"/>
      <c r="N50" s="3080"/>
      <c r="O50" s="3080"/>
    </row>
    <row r="51" spans="1:35" ht="12" customHeight="1">
      <c r="A51" s="180"/>
      <c r="B51" s="3128" t="s">
        <v>2203</v>
      </c>
      <c r="C51" s="3128"/>
      <c r="D51" s="181"/>
      <c r="E51" s="29"/>
      <c r="F51" s="179"/>
      <c r="G51" s="3111"/>
      <c r="H51" s="137"/>
      <c r="I51" s="2483"/>
      <c r="J51" s="2484" t="s">
        <v>2204</v>
      </c>
      <c r="K51" s="3080" t="s">
        <v>2205</v>
      </c>
      <c r="L51" s="3080"/>
      <c r="M51" s="2484" t="s">
        <v>2206</v>
      </c>
      <c r="N51" s="2484" t="s">
        <v>2207</v>
      </c>
      <c r="O51" s="2484" t="s">
        <v>2208</v>
      </c>
    </row>
    <row r="52" spans="1:35" ht="24" customHeight="1">
      <c r="A52" s="182" t="s">
        <v>2209</v>
      </c>
      <c r="B52" s="3128" t="s">
        <v>2210</v>
      </c>
      <c r="C52" s="3128"/>
      <c r="D52" s="181">
        <f ca="1">ROUND(D45*'数据-取费表'!B41/(1+'数据-取费表'!C42),0)</f>
        <v>138</v>
      </c>
      <c r="E52" s="11" t="s">
        <v>2211</v>
      </c>
      <c r="F52" s="183">
        <f>'数据-取费表'!B41</f>
        <v>5.6000000000000001E-2</v>
      </c>
      <c r="G52" s="2485"/>
      <c r="H52" s="137"/>
      <c r="I52" s="2483"/>
      <c r="J52" s="1807">
        <v>1</v>
      </c>
      <c r="K52" s="3103" t="s">
        <v>2212</v>
      </c>
      <c r="L52" s="3103"/>
      <c r="M52" s="1749">
        <f>D48</f>
        <v>0</v>
      </c>
      <c r="N52" s="1807" t="str">
        <f>E48</f>
        <v>销售额×税（费）率</v>
      </c>
      <c r="O52" s="1750" t="str">
        <f>F48</f>
        <v>免征</v>
      </c>
    </row>
    <row r="53" spans="1:35" ht="12" customHeight="1">
      <c r="A53" s="182" t="s">
        <v>2213</v>
      </c>
      <c r="B53" s="3129" t="s">
        <v>2214</v>
      </c>
      <c r="C53" s="3130"/>
      <c r="D53" s="181">
        <f ca="1">ROUND(D45*'数据-取费表'!B41/(1+'数据-取费表'!C42),0)</f>
        <v>138</v>
      </c>
      <c r="E53" s="11" t="s">
        <v>2211</v>
      </c>
      <c r="F53" s="183">
        <f>'数据-取费表'!B41</f>
        <v>5.6000000000000001E-2</v>
      </c>
      <c r="G53" s="2485"/>
      <c r="H53" s="137"/>
      <c r="I53" s="2483"/>
      <c r="J53" s="1807">
        <v>2</v>
      </c>
      <c r="K53" s="3103" t="s">
        <v>2215</v>
      </c>
      <c r="L53" s="3103"/>
      <c r="M53" s="1749">
        <f t="shared" ref="M53:O54" ca="1" si="0">D55</f>
        <v>1</v>
      </c>
      <c r="N53" s="1807" t="str">
        <f t="shared" si="0"/>
        <v>销售额×税（费）率</v>
      </c>
      <c r="O53" s="1750">
        <f t="shared" si="0"/>
        <v>5.0000000000000001E-4</v>
      </c>
    </row>
    <row r="54" spans="1:35" ht="12" customHeight="1">
      <c r="A54" s="182" t="s">
        <v>2216</v>
      </c>
      <c r="B54" s="3129" t="s">
        <v>2217</v>
      </c>
      <c r="C54" s="3130"/>
      <c r="D54" s="181">
        <f ca="1">C68</f>
        <v>138</v>
      </c>
      <c r="E54" s="29" t="s">
        <v>2218</v>
      </c>
      <c r="F54" s="183">
        <f>'数据-取费表'!B41</f>
        <v>5.6000000000000001E-2</v>
      </c>
      <c r="G54" s="2485"/>
      <c r="H54" s="2486"/>
      <c r="I54" s="2483"/>
      <c r="J54" s="1807">
        <v>3</v>
      </c>
      <c r="K54" s="3103" t="s">
        <v>2219</v>
      </c>
      <c r="L54" s="3103"/>
      <c r="M54" s="1749">
        <f t="shared" ca="1" si="0"/>
        <v>1460</v>
      </c>
      <c r="N54" s="1807" t="str">
        <f t="shared" si="0"/>
        <v>增值额×税（费）率</v>
      </c>
      <c r="O54" s="1751" t="str">
        <f t="shared" si="0"/>
        <v>——</v>
      </c>
    </row>
    <row r="55" spans="1:35" ht="24" customHeight="1">
      <c r="A55" s="3167" t="s">
        <v>2220</v>
      </c>
      <c r="B55" s="3149"/>
      <c r="C55" s="3149"/>
      <c r="D55" s="184">
        <f ca="1">IF(H55="个人住宅",0,ROUND(D45*I55,0))</f>
        <v>1</v>
      </c>
      <c r="E55" s="11" t="s">
        <v>2221</v>
      </c>
      <c r="F55" s="183">
        <f>IF(H55="正常",I55,"免征")</f>
        <v>5.0000000000000001E-4</v>
      </c>
      <c r="G55" s="2485"/>
      <c r="H55" s="2482" t="s">
        <v>2222</v>
      </c>
      <c r="I55" s="185">
        <f>'数据-取费表'!B49</f>
        <v>5.0000000000000001E-4</v>
      </c>
      <c r="J55" s="1807" t="str">
        <f>IF(H59="非个人房产","",4)</f>
        <v/>
      </c>
      <c r="K55" s="3103" t="str">
        <f>IF(H59="非个人房产","——","个人所得税")</f>
        <v>——</v>
      </c>
      <c r="L55" s="3103"/>
      <c r="M55" s="1752" t="str">
        <f>D59</f>
        <v>——</v>
      </c>
      <c r="N55" s="1805" t="str">
        <f>E59</f>
        <v>——</v>
      </c>
      <c r="O55" s="1753" t="str">
        <f>F59</f>
        <v>——</v>
      </c>
    </row>
    <row r="56" spans="1:35" ht="24.75">
      <c r="A56" s="3167" t="s">
        <v>2223</v>
      </c>
      <c r="B56" s="3149"/>
      <c r="C56" s="3149"/>
      <c r="D56" s="184">
        <f ca="1">IF(H56="个人住宅",D57,D58)</f>
        <v>1460</v>
      </c>
      <c r="E56" s="11" t="s">
        <v>2224</v>
      </c>
      <c r="F56" s="183" t="str">
        <f>IF(H56="正常",F58,"免征")</f>
        <v>——</v>
      </c>
      <c r="G56" s="2487" t="s">
        <v>2225</v>
      </c>
      <c r="H56" s="2488" t="s">
        <v>2222</v>
      </c>
      <c r="I56" s="2489"/>
      <c r="J56" s="1807" t="str">
        <f>IF(项目基本情况!K6="上海银行",IF(J55="",4,J55+1),"")</f>
        <v/>
      </c>
      <c r="K56" s="3086" t="str">
        <f>IF(项目基本情况!K6="上海银行","其他处置费用","")</f>
        <v/>
      </c>
      <c r="L56" s="3087"/>
      <c r="M56" s="1749" t="str">
        <f>IF(项目基本情况!K6="上海银行",M69,"")</f>
        <v/>
      </c>
      <c r="N56" s="3089" t="str">
        <f>IF(项目基本情况!K6="上海银行","包含处置中涉及的律师、诉讼、拍卖、评估等费用","")</f>
        <v/>
      </c>
      <c r="O56" s="3090"/>
    </row>
    <row r="57" spans="1:35" ht="12.75">
      <c r="A57" s="182" t="s">
        <v>2198</v>
      </c>
      <c r="B57" s="3134" t="s">
        <v>2226</v>
      </c>
      <c r="C57" s="3135"/>
      <c r="D57" s="186">
        <v>0</v>
      </c>
      <c r="E57" s="22" t="s">
        <v>2200</v>
      </c>
      <c r="F57" s="154"/>
      <c r="G57" s="2485"/>
      <c r="H57" s="2489"/>
      <c r="I57" s="2489"/>
      <c r="J57" s="3103">
        <f>IF(AND(J55="",J56=""),4,IF(项目基本情况!K6="上海银行",结果表!J56+1,结果表!J55+1))</f>
        <v>4</v>
      </c>
      <c r="K57" s="3103" t="s">
        <v>2227</v>
      </c>
      <c r="L57" s="2490" t="s">
        <v>2228</v>
      </c>
      <c r="M57" s="1754"/>
      <c r="N57" s="1755">
        <f ca="1">SUMIF(M52:M56,"&lt;9e307")</f>
        <v>1461</v>
      </c>
      <c r="O57" s="2491"/>
      <c r="P57" s="1748" t="e">
        <f ca="1">N57/M49</f>
        <v>#VALUE!</v>
      </c>
    </row>
    <row r="58" spans="1:35" ht="24.75">
      <c r="A58" s="182" t="s">
        <v>2209</v>
      </c>
      <c r="B58" s="3134" t="s">
        <v>2229</v>
      </c>
      <c r="C58" s="3147"/>
      <c r="D58" s="184">
        <f ca="1">IF(H58="转让取得",C81,C97)</f>
        <v>1460</v>
      </c>
      <c r="E58" s="11" t="s">
        <v>2224</v>
      </c>
      <c r="F58" s="23" t="s">
        <v>34</v>
      </c>
      <c r="G58" s="2485"/>
      <c r="H58" s="2488" t="s">
        <v>2230</v>
      </c>
      <c r="I58" s="2489"/>
      <c r="J58" s="3103"/>
      <c r="K58" s="3103"/>
      <c r="L58" s="2490" t="s">
        <v>2231</v>
      </c>
      <c r="M58" s="1756"/>
      <c r="N58" s="2492" t="str">
        <f ca="1">NUMBERSTRING(INT(N57*10000),2)&amp;"元整"</f>
        <v>壹仟肆佰陆拾壹万元整</v>
      </c>
      <c r="O58" s="2493"/>
    </row>
    <row r="59" spans="1:35" ht="24.75" thickBot="1">
      <c r="A59" s="3107" t="s">
        <v>2232</v>
      </c>
      <c r="B59" s="3108"/>
      <c r="C59" s="3108"/>
      <c r="D59" s="187" t="str">
        <f>IF(H59="非个人房产","——",IF(H59="个人住宅",0,ROUND(D45*I59,0)))</f>
        <v>——</v>
      </c>
      <c r="E59" s="188" t="str">
        <f>IF(H59="非个人房产","——","销售额×税（费）率")</f>
        <v>——</v>
      </c>
      <c r="F59" s="189" t="str">
        <f>IF(H59="非个人房产","——",IF(H59="个人住宅","免征",I59))</f>
        <v>——</v>
      </c>
      <c r="G59" s="2494" t="s">
        <v>2225</v>
      </c>
      <c r="H59" s="2488" t="s">
        <v>2233</v>
      </c>
      <c r="I59" s="190">
        <v>0.01</v>
      </c>
      <c r="J59" s="3105">
        <f>J57+1</f>
        <v>5</v>
      </c>
      <c r="K59" s="3103" t="s">
        <v>2234</v>
      </c>
      <c r="L59" s="1807" t="s">
        <v>2228</v>
      </c>
      <c r="M59" s="1757"/>
      <c r="N59" s="1758" t="e">
        <f ca="1">M49-N57</f>
        <v>#VALUE!</v>
      </c>
      <c r="O59" s="2495"/>
    </row>
    <row r="60" spans="1:35" ht="12" customHeight="1">
      <c r="A60" s="2496"/>
      <c r="B60" s="2418"/>
      <c r="C60" s="2418"/>
      <c r="D60" s="2418"/>
      <c r="E60" s="2165"/>
      <c r="F60" s="2489"/>
      <c r="G60" s="2489"/>
      <c r="H60" s="2497"/>
      <c r="I60" s="137"/>
      <c r="J60" s="3106"/>
      <c r="K60" s="3103"/>
      <c r="L60" s="2490" t="s">
        <v>2231</v>
      </c>
      <c r="M60" s="1756"/>
      <c r="N60" s="2492" t="e">
        <f ca="1">NUMBERSTRING(INT(N59*10000),2)&amp;"元整"</f>
        <v>#VALUE!</v>
      </c>
      <c r="O60" s="2493"/>
    </row>
    <row r="61" spans="1:35" ht="13.5" thickBot="1">
      <c r="A61" s="3166" t="s">
        <v>2235</v>
      </c>
      <c r="B61" s="3166"/>
      <c r="C61" s="3166"/>
      <c r="D61" s="3166"/>
      <c r="E61" s="3166"/>
      <c r="F61" s="2489"/>
      <c r="G61" s="2489"/>
      <c r="H61" s="2497"/>
      <c r="I61" s="137"/>
      <c r="J61" s="1807">
        <f>J59+1</f>
        <v>6</v>
      </c>
      <c r="K61" s="3103" t="s">
        <v>2236</v>
      </c>
      <c r="L61" s="3103"/>
      <c r="M61" s="1759"/>
      <c r="N61" s="1760" t="e">
        <f ca="1">ROUND(N59*10000/'数据-汇总表'!E3,0)</f>
        <v>#VALUE!</v>
      </c>
      <c r="O61" s="2498"/>
    </row>
    <row r="62" spans="1:35" ht="12.75">
      <c r="A62" s="3123" t="s">
        <v>2237</v>
      </c>
      <c r="B62" s="3124"/>
      <c r="C62" s="1799"/>
      <c r="D62" s="1799" t="s">
        <v>2238</v>
      </c>
      <c r="E62" s="191" t="s">
        <v>2239</v>
      </c>
      <c r="F62" s="2489"/>
      <c r="G62" s="2489"/>
      <c r="H62" s="2497"/>
      <c r="I62" s="137"/>
    </row>
    <row r="63" spans="1:35" ht="12.75">
      <c r="A63" s="202" t="s">
        <v>775</v>
      </c>
      <c r="B63" s="192" t="s">
        <v>2240</v>
      </c>
      <c r="C63" s="193">
        <f ca="1">ROUND((C64+C65)/(1+'数据-取费表'!C42),0)</f>
        <v>2457</v>
      </c>
      <c r="D63" s="194"/>
      <c r="E63" s="195"/>
      <c r="F63" s="2489"/>
      <c r="G63" s="2489"/>
      <c r="H63" s="2497"/>
      <c r="I63" s="137"/>
      <c r="J63" s="3088" t="s">
        <v>2241</v>
      </c>
      <c r="K63" s="2499" t="s">
        <v>2242</v>
      </c>
      <c r="L63" s="1747" t="e">
        <f>IF(M49&gt;10000,M49*0.5%,IF(AND(M49&gt;1000,M49&lt;=10000),M49*1%,IF(AND(M49&gt;100,M49&lt;=1000),M49*3%,IF(AND(M49&gt;10,M49&lt;=100),M49*5%,M49*8%))))</f>
        <v>#VALUE!</v>
      </c>
      <c r="M63" s="23" t="e">
        <f>ROUND(L63,1)</f>
        <v>#VALUE!</v>
      </c>
      <c r="Z63" s="2423"/>
      <c r="AI63" s="2424"/>
    </row>
    <row r="64" spans="1:35" ht="14.25" customHeight="1">
      <c r="A64" s="196" t="s">
        <v>770</v>
      </c>
      <c r="B64" s="197" t="s">
        <v>2243</v>
      </c>
      <c r="C64" s="198">
        <f ca="1">D45</f>
        <v>2580</v>
      </c>
      <c r="D64" s="199" t="s">
        <v>32</v>
      </c>
      <c r="E64" s="200"/>
      <c r="F64" s="2489"/>
      <c r="G64" s="2489"/>
      <c r="H64" s="2497"/>
      <c r="I64" s="137"/>
      <c r="J64" s="3088"/>
      <c r="K64" s="2499" t="s">
        <v>2244</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2245</v>
      </c>
      <c r="Z64" s="2423"/>
      <c r="AI64" s="2424"/>
    </row>
    <row r="65" spans="1:35" ht="14.25" customHeight="1">
      <c r="A65" s="196" t="s">
        <v>771</v>
      </c>
      <c r="B65" s="197" t="s">
        <v>2246</v>
      </c>
      <c r="C65" s="201"/>
      <c r="D65" s="199"/>
      <c r="E65" s="200"/>
      <c r="F65" s="2489"/>
      <c r="G65" s="2489"/>
      <c r="H65" s="2497"/>
      <c r="I65" s="137"/>
      <c r="J65" s="3088"/>
      <c r="K65" s="2499" t="s">
        <v>2247</v>
      </c>
      <c r="L65" s="1747" t="e">
        <f>IF(M49&gt;1000,M49*0.1%,IF(AND(M49&gt;500,M49&lt;=1000),M49*0.5%,IF(AND(M49&gt;50,M49&lt;=500),M49*1%,IF(AND(M49&gt;1,M49&lt;=50),M49*1.5%))))</f>
        <v>#VALUE!</v>
      </c>
      <c r="M65" s="23" t="e">
        <f t="shared" si="1"/>
        <v>#VALUE!</v>
      </c>
      <c r="N65" s="137" t="s">
        <v>2245</v>
      </c>
      <c r="Z65" s="2423"/>
      <c r="AI65" s="2424"/>
    </row>
    <row r="66" spans="1:35" ht="14.25" customHeight="1">
      <c r="A66" s="202" t="s">
        <v>772</v>
      </c>
      <c r="B66" s="203" t="s">
        <v>2248</v>
      </c>
      <c r="C66" s="204"/>
      <c r="D66" s="205" t="s">
        <v>32</v>
      </c>
      <c r="E66" s="1771" t="s">
        <v>1367</v>
      </c>
      <c r="F66" s="2489"/>
      <c r="G66" s="2489"/>
      <c r="H66" s="2497"/>
      <c r="I66" s="137"/>
      <c r="J66" s="3088"/>
      <c r="K66" s="2499" t="s">
        <v>2249</v>
      </c>
      <c r="L66" s="1747" t="e">
        <f>M49*0.5%</f>
        <v>#VALUE!</v>
      </c>
      <c r="M66" s="23" t="e">
        <f>IF(L66&gt;0.5,0.5,ROUND(L66,0))</f>
        <v>#VALUE!</v>
      </c>
      <c r="N66" s="137" t="s">
        <v>2250</v>
      </c>
      <c r="Z66" s="2423"/>
      <c r="AI66" s="2424"/>
    </row>
    <row r="67" spans="1:35" ht="14.25" customHeight="1">
      <c r="A67" s="202" t="s">
        <v>773</v>
      </c>
      <c r="B67" s="203" t="s">
        <v>2251</v>
      </c>
      <c r="C67" s="206">
        <f ca="1">C63-C66</f>
        <v>2457</v>
      </c>
      <c r="D67" s="199" t="s">
        <v>32</v>
      </c>
      <c r="E67" s="200"/>
      <c r="F67" s="2489"/>
      <c r="G67" s="2489"/>
      <c r="H67" s="2497"/>
      <c r="I67" s="137"/>
      <c r="J67" s="3088"/>
      <c r="K67" s="2499"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customHeight="1" thickBot="1">
      <c r="A68" s="207" t="s">
        <v>774</v>
      </c>
      <c r="B68" s="208" t="s">
        <v>2253</v>
      </c>
      <c r="C68" s="209">
        <f ca="1">IF(C67&lt;=0,0,ROUND(C67*D68,0))</f>
        <v>138</v>
      </c>
      <c r="D68" s="210">
        <f>'数据-取费表'!B41</f>
        <v>5.6000000000000001E-2</v>
      </c>
      <c r="E68" s="211"/>
      <c r="F68" s="2489"/>
      <c r="G68" s="2489"/>
      <c r="H68" s="2497"/>
      <c r="I68" s="137"/>
      <c r="J68" s="3088"/>
      <c r="K68" s="2499" t="s">
        <v>2254</v>
      </c>
      <c r="L68" s="1747" t="e">
        <f>IF(M49&gt;10000,M49*0.5%,IF(AND(M49&gt;5000,M49&lt;=10000),M49*1%,IF(AND(M49&gt;1000,M49&lt;=5000),M49*2%,IF(AND(M49&gt;200,M49&lt;=1000),M49*3%,M49*5%))))</f>
        <v>#VALUE!</v>
      </c>
      <c r="M68" s="23" t="e">
        <f>ROUND(L68,1)</f>
        <v>#VALUE!</v>
      </c>
      <c r="Z68" s="2423"/>
      <c r="AI68" s="2424"/>
    </row>
    <row r="69" spans="1:35" s="2446" customFormat="1" ht="16.5" customHeight="1">
      <c r="A69" s="2500"/>
      <c r="B69" s="2501"/>
      <c r="C69" s="2502"/>
      <c r="D69" s="2503"/>
      <c r="E69" s="2504"/>
      <c r="F69" s="2165"/>
      <c r="G69" s="2165"/>
      <c r="H69" s="2164"/>
      <c r="I69" s="2418"/>
      <c r="J69" s="3088"/>
      <c r="K69" s="2499" t="s">
        <v>2255</v>
      </c>
      <c r="L69" s="2505"/>
      <c r="M69" s="23" t="e">
        <f>ROUND(SUM(M63:M68),0)</f>
        <v>#VALUE!</v>
      </c>
      <c r="N69" s="1748"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32" t="s">
        <v>2256</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3" t="s">
        <v>2237</v>
      </c>
      <c r="B71" s="3124"/>
      <c r="C71" s="1799"/>
      <c r="D71" s="1799" t="s">
        <v>2238</v>
      </c>
      <c r="E71" s="212" t="s">
        <v>2239</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2257</v>
      </c>
      <c r="C72" s="206">
        <f ca="1">ROUND(D45/(1+'数据-取费表'!C42),0)</f>
        <v>2457</v>
      </c>
      <c r="D72" s="199" t="s">
        <v>32</v>
      </c>
      <c r="E72" s="1798"/>
      <c r="F72" s="1792"/>
      <c r="G72" s="1792"/>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2258</v>
      </c>
      <c r="C73" s="206">
        <f ca="1">C74+C78</f>
        <v>15</v>
      </c>
      <c r="D73" s="199" t="s">
        <v>32</v>
      </c>
      <c r="E73" s="1798"/>
      <c r="F73" s="1792"/>
      <c r="G73" s="1792"/>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2259</v>
      </c>
      <c r="C74" s="199">
        <f>ROUND(IF(G77="2016年5月1日后购买",C75/(1+'数据-取费表'!C42)+C76+C77,C75+C76+C77),0)</f>
        <v>0</v>
      </c>
      <c r="D74" s="199" t="s">
        <v>32</v>
      </c>
      <c r="E74" s="1798"/>
      <c r="F74" s="1792"/>
      <c r="G74" s="1792"/>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2260</v>
      </c>
      <c r="C75" s="217"/>
      <c r="D75" s="199" t="s">
        <v>32</v>
      </c>
      <c r="E75" s="218" t="s">
        <v>2261</v>
      </c>
      <c r="F75" s="2511" t="s">
        <v>2262</v>
      </c>
      <c r="G75" s="218" t="s">
        <v>2263</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2264</v>
      </c>
      <c r="C76" s="199">
        <f>IF(F75="购房发票",ROUND(C75*H75*D76,0),0)</f>
        <v>0</v>
      </c>
      <c r="D76" s="221">
        <v>0.05</v>
      </c>
      <c r="E76" s="3129" t="s">
        <v>2265</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13" t="s">
        <v>2268</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2269</v>
      </c>
      <c r="C78" s="224">
        <f ca="1">ROUND(D45*D78/(1+'数据-取费表'!C42),0)</f>
        <v>15</v>
      </c>
      <c r="D78" s="225">
        <f>'数据-取费表'!B43</f>
        <v>6.000000000000001E-3</v>
      </c>
      <c r="E78" s="3120" t="s">
        <v>2270</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2271</v>
      </c>
      <c r="C79" s="206">
        <f ca="1">C72-C73</f>
        <v>2442</v>
      </c>
      <c r="D79" s="199" t="s">
        <v>32</v>
      </c>
      <c r="E79" s="1798"/>
      <c r="F79" s="1792"/>
      <c r="G79" s="1792"/>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2272</v>
      </c>
      <c r="C80" s="226">
        <f ca="1">IF(C79&lt;=0,0,C79/C73)</f>
        <v>162.80000000000001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2273</v>
      </c>
      <c r="C81" s="227">
        <f ca="1">ROUND(IF(C79&lt;=0,0,IF(C80&gt;=200%,C79*60%-C73*35%,IF(C80&gt;=100%,C79*50%-C73*15%,IF(C80&gt;=50%,C79*40%-C73*5%,IF(C80&lt;50%,C79*30%,0))))),0)</f>
        <v>1460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2274</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3" t="s">
        <v>2237</v>
      </c>
      <c r="B84" s="3124"/>
      <c r="C84" s="1799"/>
      <c r="D84" s="1799" t="s">
        <v>2238</v>
      </c>
      <c r="E84" s="212" t="s">
        <v>2239</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2257</v>
      </c>
      <c r="C85" s="206">
        <f ca="1">ROUND(D45/(1+'数据-取费表'!C42),0)</f>
        <v>2457</v>
      </c>
      <c r="D85" s="199" t="s">
        <v>32</v>
      </c>
      <c r="E85" s="1798"/>
      <c r="F85" s="1792"/>
      <c r="G85" s="1792"/>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2258</v>
      </c>
      <c r="C86" s="206">
        <f ca="1">IF(H88="仅含出让金",C87+C90+C91+C92+C93+C94,C87+C91+C92+C93+C94)</f>
        <v>15</v>
      </c>
      <c r="D86" s="234"/>
      <c r="E86" s="1798"/>
      <c r="F86" s="1792"/>
      <c r="G86" s="1792"/>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2275</v>
      </c>
      <c r="C87" s="224">
        <f>C88+C89</f>
        <v>0</v>
      </c>
      <c r="D87" s="225"/>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2276</v>
      </c>
      <c r="C88" s="235"/>
      <c r="D88" s="225"/>
      <c r="E88" s="236" t="s">
        <v>2277</v>
      </c>
      <c r="F88" s="1795"/>
      <c r="G88" s="237"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2266</v>
      </c>
      <c r="C89" s="224">
        <f>ROUND(C88*D89,0)</f>
        <v>0</v>
      </c>
      <c r="D89" s="225">
        <f>'数据-取费表'!B48+'数据-取费表'!B49</f>
        <v>3.0499999999999999E-2</v>
      </c>
      <c r="E89" s="236" t="s">
        <v>2279</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2280</v>
      </c>
      <c r="C90" s="235"/>
      <c r="D90" s="225"/>
      <c r="E90" s="236"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2281</v>
      </c>
      <c r="B91" s="197" t="s">
        <v>2282</v>
      </c>
      <c r="C91" s="224">
        <f>IF(H91="——",成本法!C33,I91)</f>
        <v>0</v>
      </c>
      <c r="D91" s="225"/>
      <c r="E91" s="3120" t="s">
        <v>2283</v>
      </c>
      <c r="F91" s="3121"/>
      <c r="G91" s="312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2285</v>
      </c>
      <c r="B92" s="197" t="s">
        <v>2286</v>
      </c>
      <c r="C92" s="224">
        <f>ROUND((C87+C90+C91)*D92,0)</f>
        <v>0</v>
      </c>
      <c r="D92" s="225">
        <v>0.1</v>
      </c>
      <c r="E92" s="3120" t="s">
        <v>2287</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2288</v>
      </c>
      <c r="B93" s="197" t="s">
        <v>2269</v>
      </c>
      <c r="C93" s="224">
        <f ca="1">ROUND(D45*D93/(1+'数据-取费表'!C42),0)</f>
        <v>15</v>
      </c>
      <c r="D93" s="225">
        <f>'数据-取费表'!B43</f>
        <v>6.000000000000001E-3</v>
      </c>
      <c r="E93" s="3120" t="s">
        <v>2270</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2289</v>
      </c>
      <c r="B94" s="197" t="s">
        <v>2290</v>
      </c>
      <c r="C94" s="235">
        <f>ROUND((C87+C90+C91)*D94,0)</f>
        <v>0</v>
      </c>
      <c r="D94" s="225">
        <v>0.2</v>
      </c>
      <c r="E94" s="3168" t="s">
        <v>2291</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2271</v>
      </c>
      <c r="C95" s="206">
        <f ca="1">ROUND(C85-C86,0)</f>
        <v>2442</v>
      </c>
      <c r="D95" s="199" t="s">
        <v>32</v>
      </c>
      <c r="E95" s="1798"/>
      <c r="F95" s="1792"/>
      <c r="G95" s="1792"/>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2272</v>
      </c>
      <c r="C96" s="226">
        <f ca="1">IF(C95&lt;=0,0,C95/C86)</f>
        <v>162.80000000000001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2273</v>
      </c>
      <c r="C97" s="227">
        <f ca="1">ROUND(IF(C95&lt;=0,0,IF(C96&gt;=200%,C95*60%-C86*35%,IF(C96&gt;=100%,C95*50%-C86*15%,IF(C96&gt;=50%,C95*40%-C86*5%,IF(C96&lt;50%,C95*30%,0))))),0)</f>
        <v>1460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2292</v>
      </c>
      <c r="B99" s="2418"/>
      <c r="C99" s="2418"/>
      <c r="D99" s="2418"/>
      <c r="E99" s="2165"/>
      <c r="F99" s="2165"/>
      <c r="G99" s="2165"/>
      <c r="H99" s="2164"/>
      <c r="I99" s="137"/>
    </row>
    <row r="100" spans="1:35" ht="18.75" customHeight="1">
      <c r="A100" s="3072" t="s">
        <v>2293</v>
      </c>
      <c r="B100" s="3073"/>
      <c r="C100" s="3073"/>
      <c r="D100" s="3104"/>
      <c r="E100" s="3073" t="s">
        <v>2294</v>
      </c>
      <c r="F100" s="3073"/>
      <c r="G100" s="3073"/>
      <c r="H100" s="3104"/>
      <c r="I100" s="137"/>
    </row>
    <row r="101" spans="1:35" ht="18.75" customHeight="1">
      <c r="A101" s="3112" t="s">
        <v>2295</v>
      </c>
      <c r="B101" s="3113"/>
      <c r="C101" s="734" t="str">
        <f>C4</f>
        <v>典型户型修正</v>
      </c>
      <c r="D101" s="735" t="str">
        <f>D4</f>
        <v>典型户型修正</v>
      </c>
      <c r="E101" s="3084" t="s">
        <v>2296</v>
      </c>
      <c r="F101" s="3085"/>
      <c r="G101" s="2520" t="s">
        <v>2297</v>
      </c>
      <c r="H101" s="1043">
        <f ca="1">H118</f>
        <v>2580</v>
      </c>
      <c r="I101" s="137"/>
    </row>
    <row r="102" spans="1:35" ht="18.75" customHeight="1">
      <c r="A102" s="3114" t="s">
        <v>2298</v>
      </c>
      <c r="B102" s="2520" t="s">
        <v>2297</v>
      </c>
      <c r="C102" s="734">
        <f ca="1">C19</f>
        <v>2580</v>
      </c>
      <c r="D102" s="735">
        <f ca="1">D19</f>
        <v>2580</v>
      </c>
      <c r="E102" s="3084"/>
      <c r="F102" s="3085"/>
      <c r="G102" s="2520" t="s">
        <v>2299</v>
      </c>
      <c r="H102" s="370">
        <f ca="1">I118</f>
        <v>11647</v>
      </c>
      <c r="I102" s="137"/>
    </row>
    <row r="103" spans="1:35" ht="42.75" customHeight="1">
      <c r="A103" s="3114"/>
      <c r="B103" s="2520" t="s">
        <v>2299</v>
      </c>
      <c r="C103" s="736">
        <f ca="1">C20</f>
        <v>11647</v>
      </c>
      <c r="D103" s="737">
        <f ca="1">D20</f>
        <v>11647</v>
      </c>
      <c r="E103" s="3078" t="s">
        <v>2300</v>
      </c>
      <c r="F103" s="3079"/>
      <c r="G103" s="2521" t="s">
        <v>2301</v>
      </c>
      <c r="H103" s="1043">
        <f>IF(D36="正常操作",H104+H105+H106,H105+H106)</f>
        <v>0</v>
      </c>
      <c r="I103" s="137"/>
    </row>
    <row r="104" spans="1:35" ht="18.75" customHeight="1">
      <c r="A104" s="3114" t="s">
        <v>2302</v>
      </c>
      <c r="B104" s="2522" t="s">
        <v>2297</v>
      </c>
      <c r="C104" s="738">
        <f ca="1">H118</f>
        <v>2580</v>
      </c>
      <c r="D104" s="739"/>
      <c r="E104" s="2266" t="s">
        <v>2303</v>
      </c>
      <c r="F104" s="2257"/>
      <c r="G104" s="2521" t="s">
        <v>2301</v>
      </c>
      <c r="H104" s="1044">
        <f>IF(D36="同一抵押权人同一抵押物续贷",C36&amp;"（未扣减，详见特别提示）",C36)</f>
        <v>0</v>
      </c>
      <c r="I104" s="137"/>
    </row>
    <row r="105" spans="1:35" ht="18.75" customHeight="1" thickBot="1">
      <c r="A105" s="3126"/>
      <c r="B105" s="2523" t="s">
        <v>2299</v>
      </c>
      <c r="C105" s="740">
        <f ca="1">I118</f>
        <v>11647</v>
      </c>
      <c r="D105" s="741"/>
      <c r="E105" s="2266" t="s">
        <v>2304</v>
      </c>
      <c r="F105" s="2257"/>
      <c r="G105" s="2521" t="s">
        <v>2301</v>
      </c>
      <c r="H105" s="1044">
        <f>C37</f>
        <v>0</v>
      </c>
      <c r="I105" s="137"/>
    </row>
    <row r="106" spans="1:35" ht="18.75" customHeight="1">
      <c r="A106" s="2418" t="s">
        <v>2305</v>
      </c>
      <c r="B106" s="2418"/>
      <c r="C106" s="2418"/>
      <c r="D106" s="2418"/>
      <c r="E106" s="2524" t="s">
        <v>2306</v>
      </c>
      <c r="F106" s="2257"/>
      <c r="G106" s="2521" t="s">
        <v>2301</v>
      </c>
      <c r="H106" s="1044">
        <f>C38</f>
        <v>0</v>
      </c>
      <c r="I106" s="137"/>
    </row>
    <row r="107" spans="1:35" ht="18.75" customHeight="1">
      <c r="A107" s="137"/>
      <c r="B107" s="137"/>
      <c r="C107" s="137"/>
      <c r="D107" s="137"/>
      <c r="E107" s="3115" t="str">
        <f>IF(项目基本情况!E8="已注销","——","3.房地产抵押价值")</f>
        <v>3.房地产抵押价值</v>
      </c>
      <c r="F107" s="3085"/>
      <c r="G107" s="2520" t="s">
        <v>2297</v>
      </c>
      <c r="H107" s="1043">
        <f ca="1">IF(E107="——","——",H101-H103)</f>
        <v>2580</v>
      </c>
      <c r="I107" s="137"/>
    </row>
    <row r="108" spans="1:35" ht="18.75" customHeight="1">
      <c r="A108" s="137"/>
      <c r="B108" s="137"/>
      <c r="C108" s="137"/>
      <c r="D108" s="137"/>
      <c r="E108" s="3115"/>
      <c r="F108" s="3085"/>
      <c r="G108" s="2520" t="s">
        <v>2299</v>
      </c>
      <c r="H108" s="370">
        <f ca="1">ROUND(H107*10000/'数据-汇总表'!E3,0)</f>
        <v>11647</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2297</v>
      </c>
      <c r="H109" s="347" t="str">
        <f>IF(E109="——","——",H101-H105-H106)</f>
        <v>——</v>
      </c>
      <c r="I109" s="137"/>
    </row>
    <row r="110" spans="1:35" ht="18.75" customHeight="1">
      <c r="A110" s="137"/>
      <c r="B110" s="137"/>
      <c r="C110" s="137"/>
      <c r="D110" s="137"/>
      <c r="E110" s="3115"/>
      <c r="F110" s="3085"/>
      <c r="G110" s="2520" t="s">
        <v>2299</v>
      </c>
      <c r="H110" s="370"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2297</v>
      </c>
      <c r="H111" s="1043" t="str">
        <f>IF(E111="——","——",N59)</f>
        <v>——</v>
      </c>
      <c r="I111" s="137"/>
    </row>
    <row r="112" spans="1:35" ht="18.75" customHeight="1" thickBot="1">
      <c r="A112" s="137"/>
      <c r="B112" s="137"/>
      <c r="C112" s="137"/>
      <c r="D112" s="137"/>
      <c r="E112" s="3118"/>
      <c r="F112" s="3119"/>
      <c r="G112" s="2525" t="s">
        <v>2299</v>
      </c>
      <c r="H112" s="788" t="str">
        <f>IF(E111="——","——",N61)</f>
        <v>——</v>
      </c>
      <c r="I112" s="137"/>
    </row>
    <row r="113" spans="1:11" ht="18.75" customHeight="1">
      <c r="A113" s="137"/>
      <c r="B113" s="137"/>
      <c r="C113" s="137"/>
      <c r="D113" s="137"/>
      <c r="E113" s="3127" t="s">
        <v>2305</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2307</v>
      </c>
      <c r="B115" s="3141"/>
      <c r="C115" s="3141"/>
      <c r="D115" s="3141"/>
      <c r="E115" s="3141"/>
      <c r="F115" s="3141"/>
      <c r="G115" s="3141"/>
      <c r="H115" s="3141"/>
      <c r="I115" s="3142"/>
    </row>
    <row r="116" spans="1:11" ht="27" customHeight="1">
      <c r="A116" s="3051" t="s">
        <v>2308</v>
      </c>
      <c r="B116" s="3094" t="s">
        <v>2309</v>
      </c>
      <c r="C116" s="3094" t="s">
        <v>2310</v>
      </c>
      <c r="D116" s="3100" t="s">
        <v>2311</v>
      </c>
      <c r="E116" s="3101"/>
      <c r="F116" s="3136" t="s">
        <v>2312</v>
      </c>
      <c r="G116" s="3136"/>
      <c r="H116" s="3051" t="s">
        <v>2313</v>
      </c>
      <c r="I116" s="3051"/>
    </row>
    <row r="117" spans="1:11" ht="18.75" customHeight="1">
      <c r="A117" s="3051"/>
      <c r="B117" s="3095"/>
      <c r="C117" s="3095"/>
      <c r="D117" s="1793" t="s">
        <v>2314</v>
      </c>
      <c r="E117" s="1793" t="s">
        <v>2315</v>
      </c>
      <c r="F117" s="1793" t="s">
        <v>2314</v>
      </c>
      <c r="G117" s="1793" t="s">
        <v>2316</v>
      </c>
      <c r="H117" s="1793" t="s">
        <v>2314</v>
      </c>
      <c r="I117" s="1793" t="s">
        <v>2316</v>
      </c>
    </row>
    <row r="118" spans="1:11" ht="24.75" customHeight="1">
      <c r="A118" s="2526" t="str">
        <f>项目基本情况!S2</f>
        <v>出让国有建设用地使用权及在建建筑物房地产</v>
      </c>
      <c r="B118" s="1793">
        <f>M18</f>
        <v>2215.16</v>
      </c>
      <c r="C118" s="1793">
        <f>M19</f>
        <v>95.610000000000014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2580</v>
      </c>
      <c r="I118" s="1793">
        <f ca="1">ROUND(IF(D32="楼面单价",C32,H118*10000/B118),0)</f>
        <v>11647</v>
      </c>
    </row>
    <row r="119" spans="1:11" ht="18.75" customHeight="1">
      <c r="A119" s="3051" t="s">
        <v>2317</v>
      </c>
      <c r="B119" s="3051"/>
      <c r="C119" s="3051"/>
      <c r="D119" s="3096" t="e">
        <f ca="1">NUMBERSTRING(INT(D118*10000),2)&amp;"元整"</f>
        <v>#REF!</v>
      </c>
      <c r="E119" s="3097"/>
      <c r="F119" s="3096" t="e">
        <f ca="1">NUMBERSTRING(INT(F118*10000),2)&amp;"元整"</f>
        <v>#REF!</v>
      </c>
      <c r="G119" s="3097"/>
      <c r="H119" s="3096" t="str">
        <f ca="1">NUMBERSTRING(INT(H118*10000),2)&amp;"元整"</f>
        <v>贰仟伍佰捌拾万元整</v>
      </c>
      <c r="I119" s="3097"/>
    </row>
    <row r="120" spans="1:11" ht="18.75" customHeight="1">
      <c r="A120" s="3091" t="str">
        <f>IF(项目基本情况!B9="房地产市场价值","",MID(E103,3,LEN(E103)-2))</f>
        <v/>
      </c>
      <c r="B120" s="3092"/>
      <c r="C120" s="3093"/>
      <c r="D120" s="3091">
        <f>H103</f>
        <v>0</v>
      </c>
      <c r="E120" s="3092"/>
      <c r="F120" s="3092"/>
      <c r="G120" s="3092"/>
      <c r="H120" s="3092"/>
      <c r="I120" s="3093"/>
      <c r="K120" s="2423" t="str">
        <f>IF(D120=0,"故，本次评估不存在"&amp;A120,"故，本次评估"&amp;A120&amp;"为人民币"&amp;D120&amp;"万元整。")</f>
        <v>故，本次评估不存在</v>
      </c>
    </row>
    <row r="121" spans="1:11" ht="18.75" customHeight="1">
      <c r="A121" s="3137" t="s">
        <v>2317</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f ca="1">H107</f>
        <v>2580</v>
      </c>
      <c r="E122" s="3092"/>
      <c r="F122" s="3092"/>
      <c r="G122" s="3092"/>
      <c r="H122" s="3092"/>
      <c r="I122" s="3093"/>
    </row>
    <row r="123" spans="1:11" ht="18.75" customHeight="1">
      <c r="A123" s="3051" t="s">
        <v>2317</v>
      </c>
      <c r="B123" s="3051"/>
      <c r="C123" s="3051"/>
      <c r="D123" s="3096" t="str">
        <f ca="1">NUMBERSTRING(INT(D122*10000),2)&amp;"元整"</f>
        <v>贰仟伍佰捌拾万元整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2317</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2317</v>
      </c>
      <c r="B127" s="3051"/>
      <c r="C127" s="3051"/>
      <c r="D127" s="3096" t="e">
        <f>NUMBERSTRING(INT(D126*10000),2)&amp;"元整"</f>
        <v>#VALUE!</v>
      </c>
      <c r="E127" s="3098"/>
      <c r="F127" s="3098"/>
      <c r="G127" s="3098"/>
      <c r="H127" s="3098"/>
      <c r="I127" s="3097"/>
    </row>
    <row r="128" spans="1:11" ht="21.75" customHeight="1">
      <c r="A128" s="3099" t="s">
        <v>2318</v>
      </c>
      <c r="B128" s="3099"/>
      <c r="C128" s="3099"/>
      <c r="D128" s="3099"/>
      <c r="E128" s="3099"/>
      <c r="F128" s="3099"/>
      <c r="G128" s="3099"/>
      <c r="H128" s="3099"/>
      <c r="I128" s="3099"/>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2321</v>
      </c>
      <c r="G135" s="2544"/>
      <c r="H135" s="2544"/>
      <c r="I135" s="2545" t="s">
        <v>2322</v>
      </c>
    </row>
    <row r="136" spans="1:35" ht="21.75" customHeight="1">
      <c r="A136" s="793"/>
      <c r="B136" s="254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2324</v>
      </c>
    </row>
    <row r="139" spans="1:35" ht="21.75" customHeight="1">
      <c r="A139" s="793"/>
      <c r="B139" s="2546" t="s">
        <v>2325</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2324</v>
      </c>
    </row>
    <row r="142" spans="1:35" ht="21.75" customHeight="1">
      <c r="A142" s="793"/>
      <c r="B142" s="2546"/>
      <c r="C142" s="2547"/>
      <c r="D142" s="2548"/>
      <c r="E142" s="2548"/>
      <c r="F142" s="2340"/>
      <c r="G142" s="793"/>
      <c r="H142" s="793"/>
      <c r="I142" s="793"/>
    </row>
    <row r="143" spans="1:35" s="138"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8</v>
      </c>
    </row>
    <row r="2" spans="1:9" s="243" customFormat="1" ht="18" customHeight="1">
      <c r="A2" s="244" t="s">
        <v>2327</v>
      </c>
      <c r="B2" s="245">
        <f ca="1">IF(D2="——",C52,C52-E2)</f>
        <v>222</v>
      </c>
      <c r="C2" s="242" t="s">
        <v>2328</v>
      </c>
      <c r="D2" s="2549" t="s">
        <v>70</v>
      </c>
      <c r="E2" s="1438" t="e">
        <f ca="1">SUMIF(INDIRECT("'"&amp;G2&amp;"'"&amp;"!A:A"),"承租人权益价值",INDIRECT("'"&amp;G2&amp;"'"&amp;"!c:c"))</f>
        <v>#REF!</v>
      </c>
      <c r="F2" s="2550" t="s">
        <v>2328</v>
      </c>
      <c r="G2" s="2551"/>
    </row>
    <row r="3" spans="1:9" s="243" customFormat="1" ht="18" customHeight="1" thickBot="1">
      <c r="A3" s="246" t="s">
        <v>2329</v>
      </c>
      <c r="B3" s="247">
        <f ca="1">ROUND(B2*10000/(IF(B1="",'数据-汇总表'!E3,INDIRECT("'数据-取费表'!k"&amp;$G$1))),0)</f>
        <v>1002</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IF(项目基本情况!B8="出让",0,'数据-取费表'!B48+'数据-取费表'!B49)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52"/>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53"/>
      <c r="H9" s="1388"/>
      <c r="I9" s="2554" t="s">
        <v>2344</v>
      </c>
    </row>
    <row r="10" spans="1:9" s="257" customFormat="1" ht="13.5" customHeight="1">
      <c r="A10" s="948" t="s">
        <v>801</v>
      </c>
      <c r="B10" s="267" t="s">
        <v>2345</v>
      </c>
      <c r="C10" s="268">
        <f ca="1">ROUND(D10*E10/10000,0)</f>
        <v>29</v>
      </c>
      <c r="D10" s="1030">
        <f ca="1">IF(B1="",'数据-汇总表'!E6,IF(INDIRECT("'数据-取费表'!c"&amp;$G$1)="住宅",INDIRECT("'数据-取费表'!s"&amp;$G$1),INDIRECT("'数据-取费表'!k"&amp;$G$1)+INDIRECT("'数据-取费表'!s"&amp;$G$1)))</f>
        <v>2215.16</v>
      </c>
      <c r="E10" s="268">
        <f>'数据-取费表'!B28</f>
        <v>130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44</v>
      </c>
      <c r="D19" s="1034">
        <f ca="1">D9+D10</f>
        <v>2215.16</v>
      </c>
      <c r="E19" s="254">
        <f>'数据-取费表'!B31</f>
        <v>200</v>
      </c>
      <c r="F19" s="274"/>
      <c r="G19" s="2552"/>
    </row>
    <row r="20" spans="1:7" s="257" customFormat="1" ht="13.5" customHeight="1">
      <c r="A20" s="298" t="s">
        <v>2358</v>
      </c>
      <c r="B20" s="253" t="s">
        <v>2359</v>
      </c>
      <c r="C20" s="275">
        <f ca="1">ROUND((C5+C19)*F20,0)</f>
        <v>1</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7</v>
      </c>
      <c r="D22" s="278">
        <f ca="1">C26</f>
        <v>1.4E-3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7</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1.4E-3</v>
      </c>
      <c r="D26" s="281"/>
      <c r="E26" s="284"/>
      <c r="F26" s="282"/>
      <c r="G26" s="286"/>
    </row>
    <row r="27" spans="1:7" s="257" customFormat="1" ht="24.75">
      <c r="A27" s="298" t="s">
        <v>2377</v>
      </c>
      <c r="B27" s="287" t="s">
        <v>2378</v>
      </c>
      <c r="C27" s="288">
        <f ca="1">C28</f>
        <v>7</v>
      </c>
      <c r="D27" s="278">
        <f ca="1">C29</f>
        <v>3.0000000000000001E-3</v>
      </c>
      <c r="E27" s="279" t="s">
        <v>2379</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7</v>
      </c>
      <c r="D28" s="278"/>
      <c r="E28" s="279"/>
      <c r="F28" s="289"/>
      <c r="G28" s="290"/>
    </row>
    <row r="29" spans="1:7" s="257" customFormat="1" ht="13.5" customHeight="1">
      <c r="A29" s="949" t="s">
        <v>792</v>
      </c>
      <c r="B29" s="291" t="s">
        <v>2382</v>
      </c>
      <c r="C29" s="281">
        <f ca="1">ROUND(C21*F27*'数据-取费表'!B21/'数据-取费表'!B20,4)</f>
        <v>3.0000000000000001E-3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64</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132</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2391</v>
      </c>
    </row>
    <row r="35" spans="1:7" ht="13.5" customHeight="1">
      <c r="A35" s="949" t="s">
        <v>796</v>
      </c>
      <c r="B35" s="258" t="s">
        <v>2392</v>
      </c>
      <c r="C35" s="263">
        <f ca="1">ROUND(C34*F35,0)</f>
        <v>4</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44</v>
      </c>
      <c r="D37" s="260">
        <f ca="1">D19</f>
        <v>2215.16</v>
      </c>
      <c r="E37" s="292">
        <f>'数据-取费表'!B35</f>
        <v>200</v>
      </c>
      <c r="F37" s="302"/>
      <c r="G37" s="304" t="s">
        <v>2397</v>
      </c>
    </row>
    <row r="38" spans="1:7" ht="13.5" customHeight="1">
      <c r="A38" s="949" t="s">
        <v>799</v>
      </c>
      <c r="B38" s="258" t="s">
        <v>2398</v>
      </c>
      <c r="C38" s="263">
        <f ca="1">ROUND(C34*F38,0)</f>
        <v>1</v>
      </c>
      <c r="D38" s="263"/>
      <c r="E38" s="263"/>
      <c r="F38" s="302">
        <f>'数据-取费表'!B36</f>
        <v>1.4999999999999999E-2</v>
      </c>
      <c r="G38" s="262" t="s">
        <v>2393</v>
      </c>
    </row>
    <row r="39" spans="1:7" s="257" customFormat="1" ht="13.5" customHeight="1">
      <c r="A39" s="298" t="s">
        <v>2399</v>
      </c>
      <c r="B39" s="253" t="s">
        <v>2400</v>
      </c>
      <c r="C39" s="275">
        <f ca="1">ROUND(C33*F20,0)</f>
        <v>3</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10</v>
      </c>
      <c r="D41" s="278">
        <f ca="1">C44</f>
        <v>1.4E-3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10</v>
      </c>
      <c r="D42" s="281"/>
      <c r="E42" s="281"/>
      <c r="F42" s="282"/>
      <c r="G42" s="3171" t="s">
        <v>2409</v>
      </c>
    </row>
    <row r="43" spans="1:7" ht="13.5" customHeight="1">
      <c r="A43" s="949" t="s">
        <v>792</v>
      </c>
      <c r="B43" s="258" t="s">
        <v>2410</v>
      </c>
      <c r="C43" s="281">
        <f ca="1">ROUND(IF('数据-取费表'!B22&lt;=1,C39*F22*'数据-取费表'!B21/2,C39*(POWER((1+F22),'数据-取费表'!B21/2)-1)),0)</f>
        <v>0</v>
      </c>
      <c r="D43" s="281"/>
      <c r="E43" s="281"/>
      <c r="F43" s="282"/>
      <c r="G43" s="3172"/>
    </row>
    <row r="44" spans="1:7" ht="13.5" customHeight="1">
      <c r="A44" s="949" t="s">
        <v>793</v>
      </c>
      <c r="B44" s="258" t="s">
        <v>2411</v>
      </c>
      <c r="C44" s="281">
        <f ca="1">ROUND(IF('数据-取费表'!B22&lt;=1,C40*F22*'数据-取费表'!B21/2,C40*(POWER((1+F22),'数据-取费表'!B21/2)-1)),4)</f>
        <v>1.4E-3</v>
      </c>
      <c r="D44" s="281"/>
      <c r="E44" s="281"/>
      <c r="F44" s="282"/>
      <c r="G44" s="3173"/>
    </row>
    <row r="45" spans="1:7" s="257" customFormat="1" ht="13.5" customHeight="1">
      <c r="A45" s="298" t="s">
        <v>2412</v>
      </c>
      <c r="B45" s="287" t="s">
        <v>2378</v>
      </c>
      <c r="C45" s="288">
        <f ca="1">C46</f>
        <v>20</v>
      </c>
      <c r="D45" s="278">
        <f ca="1">C47</f>
        <v>3.0000000000000001E-3</v>
      </c>
      <c r="E45" s="279" t="s">
        <v>2404</v>
      </c>
      <c r="F45" s="289"/>
      <c r="G45" s="290" t="s">
        <v>2413</v>
      </c>
    </row>
    <row r="46" spans="1:7" s="257" customFormat="1" ht="13.5" customHeight="1">
      <c r="A46" s="949" t="s">
        <v>791</v>
      </c>
      <c r="B46" s="291" t="s">
        <v>2414</v>
      </c>
      <c r="C46" s="292">
        <f ca="1">ROUND((C33+C39)*F27,0)</f>
        <v>20</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179</v>
      </c>
      <c r="D49" s="275"/>
      <c r="E49" s="275"/>
      <c r="F49" s="307"/>
      <c r="G49" s="277" t="s">
        <v>2419</v>
      </c>
    </row>
    <row r="50" spans="1:7" s="301" customFormat="1" ht="24">
      <c r="A50" s="298" t="s">
        <v>2420</v>
      </c>
      <c r="B50" s="253" t="s">
        <v>2421</v>
      </c>
      <c r="C50" s="275"/>
      <c r="D50" s="275"/>
      <c r="E50" s="275"/>
      <c r="F50" s="307">
        <f>IF('数据-取费表'!B24=0,'数据-取费表'!N16,1)</f>
        <v>0.88</v>
      </c>
      <c r="G50" s="290" t="s">
        <v>2422</v>
      </c>
    </row>
    <row r="51" spans="1:7" ht="16.5" customHeight="1">
      <c r="A51" s="298" t="s">
        <v>2423</v>
      </c>
      <c r="B51" s="253" t="s">
        <v>2424</v>
      </c>
      <c r="C51" s="275">
        <f ca="1">ROUND(C49*F50,0)</f>
        <v>158</v>
      </c>
      <c r="D51" s="275"/>
      <c r="E51" s="275"/>
      <c r="F51" s="307"/>
      <c r="G51" s="277" t="s">
        <v>2425</v>
      </c>
    </row>
    <row r="52" spans="1:7" s="251" customFormat="1" ht="16.5" thickBot="1">
      <c r="A52" s="308" t="s">
        <v>2426</v>
      </c>
      <c r="B52" s="309"/>
      <c r="C52" s="310">
        <f ca="1">C31+C51</f>
        <v>222</v>
      </c>
      <c r="D52" s="309"/>
      <c r="E52" s="309"/>
      <c r="F52" s="309"/>
      <c r="G52" s="311"/>
    </row>
    <row r="55" spans="1:7" ht="15">
      <c r="B55" s="313" t="s">
        <v>2427</v>
      </c>
      <c r="C55" s="314"/>
    </row>
    <row r="56" spans="1:7">
      <c r="B56" s="316" t="s">
        <v>1508</v>
      </c>
      <c r="C56" s="318">
        <f ca="1">1-C57</f>
        <v>0.28800000000000003</v>
      </c>
    </row>
    <row r="57" spans="1:7">
      <c r="B57" s="316" t="s">
        <v>1509</v>
      </c>
      <c r="C57" s="317">
        <f ca="1">ROUND(C51/C52,3)</f>
        <v>0.71199999999999997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5" t="str">
        <f>项目基本情况!B1</f>
        <v>出让国有建设用地使用权及在建建筑物房地产市场价值预评估</v>
      </c>
      <c r="C37" s="2985"/>
      <c r="D37" s="2985"/>
      <c r="E37" s="2985"/>
      <c r="F37" s="2985"/>
      <c r="G37" s="2985"/>
      <c r="H37" s="2985"/>
      <c r="I37" s="2985"/>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2116</v>
      </c>
      <c r="B1" s="2418"/>
      <c r="C1" s="2419">
        <v>2301</v>
      </c>
      <c r="D1" s="2418"/>
      <c r="E1" s="2418"/>
      <c r="F1" s="2420" t="s">
        <v>2117</v>
      </c>
      <c r="G1" s="2069" t="s">
        <v>3084</v>
      </c>
      <c r="H1" s="2421" t="str">
        <f>IF(G1="现房","——","估价对象范围")</f>
        <v>——</v>
      </c>
      <c r="I1" s="2422"/>
    </row>
    <row r="2" spans="1:12" ht="21.75" customHeight="1" thickBot="1">
      <c r="A2" s="3150" t="str">
        <f>项目基本情况!S2</f>
        <v>出让国有建设用地使用权及在建建筑物房地产</v>
      </c>
      <c r="B2" s="3151"/>
      <c r="C2" s="3151"/>
      <c r="D2" s="3151"/>
      <c r="E2" s="3151"/>
      <c r="F2" s="3151"/>
      <c r="G2" s="3151"/>
      <c r="H2" s="3151"/>
      <c r="I2" s="3152"/>
    </row>
    <row r="3" spans="1:12" ht="12.75">
      <c r="A3" s="3153" t="s">
        <v>2119</v>
      </c>
      <c r="B3" s="3154"/>
      <c r="C3" s="3154"/>
      <c r="D3" s="3154"/>
      <c r="E3" s="3154"/>
      <c r="F3" s="3154"/>
      <c r="G3" s="3154"/>
      <c r="H3" s="3154"/>
      <c r="I3" s="3154"/>
    </row>
    <row r="4" spans="1:12" ht="14.25">
      <c r="A4" s="2425" t="s">
        <v>2120</v>
      </c>
      <c r="B4" s="2426" t="s">
        <v>2121</v>
      </c>
      <c r="C4" s="2427" t="s">
        <v>3104</v>
      </c>
      <c r="D4" s="2427" t="s">
        <v>3103</v>
      </c>
      <c r="E4" s="3134" t="s">
        <v>2122</v>
      </c>
      <c r="F4" s="3147"/>
      <c r="G4" s="3147"/>
      <c r="H4" s="3147"/>
      <c r="I4" s="3135"/>
      <c r="K4" s="2428" t="str">
        <f>IF(ISNUMBER(FIND("比较法",'结果表-办公'!C4)),"比较法",IF(ISNUMBER(FIND("成本法",'结果表-办公'!C4)),"成本法",IF(ISNUMBER(FIND("假设开发法",'结果表-办公'!C4)),"假设开发法",IF(ISNUMBER(FIND("收益法",'结果表-办公'!C4)),"收益法","基准地价系数修正法"))))</f>
        <v>比较法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5" t="s">
        <v>2123</v>
      </c>
      <c r="B5" s="3051">
        <v>25</v>
      </c>
      <c r="C5" s="3155"/>
      <c r="D5" s="3143"/>
      <c r="E5" s="139" t="s">
        <v>2124</v>
      </c>
      <c r="F5" s="2429"/>
      <c r="G5" s="2429"/>
      <c r="H5" s="2429"/>
      <c r="I5" s="1829"/>
    </row>
    <row r="6" spans="1:12" ht="12.75">
      <c r="A6" s="3125"/>
      <c r="B6" s="3051"/>
      <c r="C6" s="3157"/>
      <c r="D6" s="3143"/>
      <c r="E6" s="139" t="s">
        <v>2125</v>
      </c>
      <c r="F6" s="2429"/>
      <c r="G6" s="2429"/>
      <c r="H6" s="2429"/>
      <c r="I6" s="1829"/>
    </row>
    <row r="7" spans="1:12" ht="12.75">
      <c r="A7" s="3125"/>
      <c r="B7" s="3051"/>
      <c r="C7" s="3156"/>
      <c r="D7" s="3143"/>
      <c r="E7" s="139" t="s">
        <v>2126</v>
      </c>
      <c r="F7" s="2429"/>
      <c r="G7" s="2429"/>
      <c r="H7" s="2429"/>
      <c r="I7" s="1829"/>
    </row>
    <row r="8" spans="1:12" ht="12.75">
      <c r="A8" s="3125" t="s">
        <v>2127</v>
      </c>
      <c r="B8" s="3051">
        <v>15</v>
      </c>
      <c r="C8" s="3155"/>
      <c r="D8" s="3143"/>
      <c r="E8" s="139" t="s">
        <v>2128</v>
      </c>
      <c r="F8" s="2429"/>
      <c r="G8" s="2429"/>
      <c r="H8" s="2429"/>
      <c r="I8" s="1829"/>
    </row>
    <row r="9" spans="1:12" ht="12.75">
      <c r="A9" s="3125"/>
      <c r="B9" s="3051"/>
      <c r="C9" s="3156"/>
      <c r="D9" s="3143"/>
      <c r="E9" s="139" t="s">
        <v>2129</v>
      </c>
      <c r="F9" s="2429"/>
      <c r="G9" s="2429"/>
      <c r="H9" s="2429"/>
      <c r="I9" s="1829"/>
    </row>
    <row r="10" spans="1:12" ht="12.75">
      <c r="A10" s="3125" t="s">
        <v>2130</v>
      </c>
      <c r="B10" s="3051">
        <v>15</v>
      </c>
      <c r="C10" s="3155"/>
      <c r="D10" s="3143"/>
      <c r="E10" s="139" t="s">
        <v>2131</v>
      </c>
      <c r="F10" s="2429"/>
      <c r="G10" s="2429"/>
      <c r="H10" s="2429"/>
      <c r="I10" s="1829"/>
    </row>
    <row r="11" spans="1:12" ht="12.75">
      <c r="A11" s="3125"/>
      <c r="B11" s="3051"/>
      <c r="C11" s="3156"/>
      <c r="D11" s="3143"/>
      <c r="E11" s="139" t="s">
        <v>2132</v>
      </c>
      <c r="F11" s="2429"/>
      <c r="G11" s="2429"/>
      <c r="H11" s="2429"/>
      <c r="I11" s="1829"/>
    </row>
    <row r="12" spans="1:12" ht="12.75">
      <c r="A12" s="3125" t="s">
        <v>2133</v>
      </c>
      <c r="B12" s="3051">
        <v>15</v>
      </c>
      <c r="C12" s="3155"/>
      <c r="D12" s="3143"/>
      <c r="E12" s="139" t="s">
        <v>2134</v>
      </c>
      <c r="F12" s="2429"/>
      <c r="G12" s="2429"/>
      <c r="H12" s="2429"/>
      <c r="I12" s="1829"/>
    </row>
    <row r="13" spans="1:12" ht="12.75">
      <c r="A13" s="3125"/>
      <c r="B13" s="3051"/>
      <c r="C13" s="3156"/>
      <c r="D13" s="3143"/>
      <c r="E13" s="139" t="s">
        <v>2135</v>
      </c>
      <c r="F13" s="2429"/>
      <c r="G13" s="2429"/>
      <c r="H13" s="2429"/>
      <c r="I13" s="1829"/>
    </row>
    <row r="14" spans="1:12" ht="12.75">
      <c r="A14" s="3125" t="s">
        <v>2136</v>
      </c>
      <c r="B14" s="3051">
        <v>30</v>
      </c>
      <c r="C14" s="3155">
        <v>6</v>
      </c>
      <c r="D14" s="3143">
        <v>4</v>
      </c>
      <c r="E14" s="139" t="s">
        <v>2137</v>
      </c>
      <c r="F14" s="2429"/>
      <c r="G14" s="2429"/>
      <c r="H14" s="2429"/>
      <c r="I14" s="1829"/>
    </row>
    <row r="15" spans="1:12" ht="12.75">
      <c r="A15" s="3125"/>
      <c r="B15" s="3051"/>
      <c r="C15" s="3157"/>
      <c r="D15" s="3143"/>
      <c r="E15" s="139" t="s">
        <v>2138</v>
      </c>
      <c r="F15" s="2429"/>
      <c r="G15" s="2429"/>
      <c r="H15" s="2429"/>
      <c r="I15" s="1829"/>
    </row>
    <row r="16" spans="1:12" ht="12.75">
      <c r="A16" s="3125"/>
      <c r="B16" s="3051"/>
      <c r="C16" s="3156"/>
      <c r="D16" s="3143"/>
      <c r="E16" s="139" t="s">
        <v>2139</v>
      </c>
      <c r="F16" s="2429"/>
      <c r="G16" s="2429"/>
      <c r="H16" s="2429"/>
      <c r="I16" s="1829"/>
    </row>
    <row r="17" spans="1:35" ht="15">
      <c r="A17" s="2430" t="s">
        <v>2140</v>
      </c>
      <c r="B17" s="63"/>
      <c r="C17" s="140">
        <f>SUM(C5:C16)</f>
        <v>6</v>
      </c>
      <c r="D17" s="140">
        <f>SUM(D5:D16)</f>
        <v>4</v>
      </c>
      <c r="E17" s="137"/>
      <c r="F17" s="137"/>
      <c r="G17" s="137"/>
      <c r="H17" s="137"/>
      <c r="I17" s="137"/>
      <c r="K17" s="2428"/>
      <c r="L17" s="2431" t="s">
        <v>2141</v>
      </c>
      <c r="M17" s="2431" t="s">
        <v>2142</v>
      </c>
    </row>
    <row r="18" spans="1:35" ht="15.75" thickBot="1">
      <c r="A18" s="2432" t="s">
        <v>2143</v>
      </c>
      <c r="B18" s="2433"/>
      <c r="C18" s="141">
        <f>ROUND(C17/SUM(C17:D17),2)</f>
        <v>0.6</v>
      </c>
      <c r="D18" s="141">
        <f>1-C18</f>
        <v>0.4</v>
      </c>
      <c r="E18" s="137"/>
      <c r="F18" s="137"/>
      <c r="G18" s="137"/>
      <c r="H18" s="137"/>
      <c r="I18" s="137"/>
      <c r="K18" s="2428" t="s">
        <v>2144</v>
      </c>
      <c r="L18" s="2428">
        <f>IF(C1="",'数据-汇总表'!E3,SUMIF(项目类型,C1,'数据-汇总表'!E17:E26)+SUMIF(项目类型,C1,'数据-汇总表'!I17:I26))</f>
        <v>296.32</v>
      </c>
      <c r="M18" s="2428">
        <f>IF(C1="",'数据-汇总表'!E3,SUMIF(项目类型,C1,'数据-汇总表'!E17:E26))</f>
        <v>296.32</v>
      </c>
    </row>
    <row r="19" spans="1:35" ht="15">
      <c r="A19" s="2434" t="s">
        <v>2145</v>
      </c>
      <c r="B19" s="2435" t="s">
        <v>2146</v>
      </c>
      <c r="C19" s="142">
        <f ca="1">SUMIF(INDIRECT("'"&amp;C4&amp;"'"&amp;"!A:A"),'结果表-办公'!B19,INDIRECT("'"&amp;C4&amp;"'"&amp;"!B:B"))</f>
        <v>374</v>
      </c>
      <c r="D19" s="143">
        <f ca="1">SUMIF(INDIRECT("'"&amp;D4&amp;"'"&amp;"!A:A"),'结果表-办公'!B19,INDIRECT("'"&amp;D4&amp;"'"&amp;"!B:B"))</f>
        <v>286</v>
      </c>
      <c r="E19" s="2434" t="s">
        <v>2147</v>
      </c>
      <c r="F19" s="2435" t="s">
        <v>2146</v>
      </c>
      <c r="G19" s="144">
        <f ca="1">ROUND(C19*$C$18+D19*$D$18,0)</f>
        <v>339</v>
      </c>
      <c r="H19" s="2436" t="s">
        <v>2148</v>
      </c>
      <c r="I19" s="137"/>
      <c r="K19" s="2428" t="s">
        <v>2149</v>
      </c>
      <c r="L19" s="2428">
        <f>IF(C1="",'数据-汇总表'!D3,SUMIF(项目类型,C1,'数据-汇总表'!D17:D26)+SUMIF(项目类型,C1,'数据-汇总表'!H17:H27))</f>
        <v>12.79</v>
      </c>
      <c r="M19" s="2428">
        <f>IF(C1="",'数据-汇总表'!D3,SUMIF(项目类型,C1,'数据-汇总表'!D17:D26))</f>
        <v>12.79</v>
      </c>
    </row>
    <row r="20" spans="1:35" ht="15">
      <c r="A20" s="2437"/>
      <c r="B20" s="1245" t="s">
        <v>2150</v>
      </c>
      <c r="C20" s="145">
        <f ca="1">SUMIF(INDIRECT("'"&amp;C4&amp;"'"&amp;"!A:A"),'结果表-办公'!B20,INDIRECT("'"&amp;C4&amp;"'"&amp;"!B:B"))</f>
        <v>12615</v>
      </c>
      <c r="D20" s="146">
        <f ca="1">SUMIF(INDIRECT("'"&amp;D4&amp;"'"&amp;"!A:A"),'结果表-办公'!B20,INDIRECT("'"&amp;D4&amp;"'"&amp;"!B:B"))</f>
        <v>9667</v>
      </c>
      <c r="E20" s="2437"/>
      <c r="F20" s="1245" t="s">
        <v>2150</v>
      </c>
      <c r="G20" s="147">
        <f ca="1">ROUND(C20*$C$18+D20*$D$18,0)</f>
        <v>11436</v>
      </c>
      <c r="H20" s="978" t="s">
        <v>2151</v>
      </c>
      <c r="I20" s="137"/>
    </row>
    <row r="21" spans="1:35" ht="15" customHeight="1" thickBot="1">
      <c r="A21" s="998"/>
      <c r="B21" s="2438" t="s">
        <v>2152</v>
      </c>
      <c r="C21" s="787">
        <f ca="1">ROUND(C19*10000/L19,0)</f>
        <v>292416</v>
      </c>
      <c r="D21" s="788">
        <f ca="1">ROUND(D19*10000/L19,0)</f>
        <v>223612</v>
      </c>
      <c r="E21" s="998"/>
      <c r="F21" s="2438" t="s">
        <v>2152</v>
      </c>
      <c r="G21" s="148">
        <f ca="1">ROUND(G19*10000/L19,0)</f>
        <v>265051</v>
      </c>
      <c r="H21" s="2439" t="s">
        <v>2151</v>
      </c>
      <c r="I21" s="137"/>
    </row>
    <row r="22" spans="1:35" ht="15" thickBot="1">
      <c r="A22" s="2280" t="s">
        <v>2153</v>
      </c>
      <c r="B22" s="2440"/>
      <c r="C22" s="2441"/>
      <c r="D22" s="789">
        <f ca="1">IF(C19&lt;D19,D19/C19-1,C19/D19-1)</f>
        <v>0.30769230769230771</v>
      </c>
      <c r="E22" s="137"/>
      <c r="F22" s="137"/>
      <c r="G22" s="137"/>
      <c r="H22" s="137"/>
      <c r="I22" s="137"/>
    </row>
    <row r="23" spans="1:35" ht="13.5" thickBot="1">
      <c r="A23" s="2418"/>
      <c r="B23" s="2418"/>
      <c r="C23" s="2418"/>
      <c r="D23" s="2418"/>
      <c r="E23" s="137"/>
      <c r="F23" s="137"/>
      <c r="G23" s="137"/>
      <c r="H23" s="137"/>
      <c r="I23" s="137"/>
    </row>
    <row r="24" spans="1:35" ht="14.25">
      <c r="A24" s="3164" t="s">
        <v>2154</v>
      </c>
      <c r="B24" s="2435" t="s">
        <v>2146</v>
      </c>
      <c r="C24" s="144">
        <f>IF(B30=0,0,D30)</f>
        <v>0</v>
      </c>
      <c r="D24" s="2442"/>
      <c r="E24" s="137"/>
      <c r="F24" s="137"/>
      <c r="G24" s="137"/>
      <c r="H24" s="137"/>
      <c r="I24" s="137"/>
    </row>
    <row r="25" spans="1:35" ht="14.25">
      <c r="A25" s="3165"/>
      <c r="B25" s="1245" t="s">
        <v>2150</v>
      </c>
      <c r="C25" s="149">
        <f>IF(B30=0,0,C30)</f>
        <v>0</v>
      </c>
      <c r="D25" s="2443"/>
      <c r="E25" s="137"/>
      <c r="F25" s="137"/>
      <c r="G25" s="137"/>
      <c r="H25" s="137"/>
      <c r="I25" s="137"/>
    </row>
    <row r="26" spans="1:35" ht="13.5" customHeight="1">
      <c r="A26" s="2444" t="s">
        <v>2155</v>
      </c>
      <c r="B26" s="150" t="s">
        <v>2156</v>
      </c>
      <c r="C26" s="150" t="s">
        <v>2157</v>
      </c>
      <c r="D26" s="151" t="s">
        <v>2158</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2159</v>
      </c>
      <c r="B30" s="150"/>
      <c r="C30" s="150"/>
      <c r="D30" s="150"/>
      <c r="E30" s="2917" t="s">
        <v>3033</v>
      </c>
      <c r="F30" s="137"/>
      <c r="G30" s="137"/>
      <c r="H30" s="137"/>
      <c r="I30" s="137"/>
    </row>
    <row r="31" spans="1:35" s="2446" customFormat="1" ht="15" thickBot="1">
      <c r="A31" s="2445"/>
      <c r="B31" s="2445"/>
      <c r="C31" s="2445"/>
      <c r="D31" s="2445"/>
      <c r="E31" s="137"/>
      <c r="F31" s="137"/>
      <c r="G31" s="137"/>
      <c r="H31" s="137"/>
      <c r="I31" s="137"/>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2160</v>
      </c>
      <c r="B32" s="2448"/>
      <c r="C32" s="152">
        <f ca="1">IF(D32="总价",G19-C24,G20-C25)</f>
        <v>11436</v>
      </c>
      <c r="D32" s="2449" t="s">
        <v>3105</v>
      </c>
      <c r="E32" s="137"/>
      <c r="F32" s="137"/>
      <c r="G32" s="137"/>
      <c r="H32" s="137"/>
      <c r="I32" s="137"/>
    </row>
    <row r="33" spans="1:15" ht="15">
      <c r="A33" s="955" t="s">
        <v>2162</v>
      </c>
      <c r="B33" s="2450"/>
      <c r="C33" s="2451"/>
      <c r="D33" s="2452"/>
      <c r="E33" s="2453" t="s">
        <v>2163</v>
      </c>
      <c r="F33" s="2953" t="str">
        <f>IF(D32="楼面单价","取值（单价）","取值（总价）")</f>
        <v>取值（单价）</v>
      </c>
      <c r="G33" s="137"/>
      <c r="H33" s="137"/>
      <c r="I33" s="137"/>
    </row>
    <row r="34" spans="1:15" ht="15">
      <c r="A34" s="2455"/>
      <c r="B34" s="2456"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7" t="s">
        <v>2165</v>
      </c>
      <c r="F34" s="1734"/>
      <c r="G34" s="137"/>
      <c r="H34" s="137"/>
      <c r="I34" s="137"/>
    </row>
    <row r="35" spans="1:15" ht="15.75" thickBot="1">
      <c r="A35" s="2458"/>
      <c r="B35" s="2459"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2167</v>
      </c>
      <c r="F35" s="162"/>
      <c r="G35" s="137"/>
      <c r="H35" s="137"/>
      <c r="I35" s="137"/>
    </row>
    <row r="36" spans="1:15" ht="15.75" thickBot="1">
      <c r="A36" s="3144" t="s">
        <v>2168</v>
      </c>
      <c r="B36" s="2461" t="s">
        <v>2169</v>
      </c>
      <c r="C36" s="153"/>
      <c r="D36" s="2462"/>
      <c r="E36" s="2463"/>
      <c r="F36" s="2464"/>
      <c r="G36" s="137"/>
      <c r="H36" s="137"/>
      <c r="I36" s="137"/>
    </row>
    <row r="37" spans="1:15" ht="15.75" thickBot="1">
      <c r="A37" s="3145"/>
      <c r="B37" s="2266" t="s">
        <v>2170</v>
      </c>
      <c r="C37" s="155"/>
      <c r="D37" s="1390"/>
      <c r="E37" s="1390"/>
      <c r="F37" s="2464"/>
      <c r="G37" s="137"/>
      <c r="H37" s="137"/>
      <c r="I37" s="137"/>
    </row>
    <row r="38" spans="1:15" ht="15.75" thickBot="1">
      <c r="A38" s="3146"/>
      <c r="B38" s="2465" t="s">
        <v>2171</v>
      </c>
      <c r="C38" s="725"/>
      <c r="D38" s="2466" t="s">
        <v>2172</v>
      </c>
      <c r="E38" s="1390"/>
      <c r="F38" s="2464"/>
      <c r="G38" s="137"/>
      <c r="H38" s="137"/>
      <c r="I38" s="137"/>
    </row>
    <row r="39" spans="1:15" ht="15">
      <c r="A39" s="2437" t="s">
        <v>2173</v>
      </c>
      <c r="B39" s="2467" t="s">
        <v>2174</v>
      </c>
      <c r="C39" s="2468" t="s">
        <v>2175</v>
      </c>
      <c r="D39" s="2468" t="s">
        <v>2176</v>
      </c>
      <c r="E39" s="2469" t="s">
        <v>2177</v>
      </c>
      <c r="F39" s="2464"/>
      <c r="G39" s="137"/>
      <c r="H39" s="137"/>
      <c r="I39" s="137"/>
    </row>
    <row r="40" spans="1:15" ht="14.25">
      <c r="A40" s="2470" t="s">
        <v>2178</v>
      </c>
      <c r="B40" s="157"/>
      <c r="C40" s="158"/>
      <c r="D40" s="158"/>
      <c r="E40" s="159"/>
      <c r="F40" s="2464"/>
      <c r="G40" s="137"/>
      <c r="H40" s="137"/>
      <c r="I40" s="137"/>
    </row>
    <row r="41" spans="1:15" ht="14.25">
      <c r="A41" s="2470" t="s">
        <v>2179</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1" t="s">
        <v>2182</v>
      </c>
      <c r="B45" s="3162"/>
      <c r="C45" s="3163"/>
      <c r="D45" s="163">
        <f ca="1">ROUND(H101*F45,0)</f>
        <v>339</v>
      </c>
      <c r="E45" s="164" t="s">
        <v>2183</v>
      </c>
      <c r="F45" s="165">
        <v>1</v>
      </c>
      <c r="G45" s="166" t="s">
        <v>2184</v>
      </c>
      <c r="H45" s="137"/>
      <c r="I45" s="137"/>
      <c r="J45" s="3080" t="s">
        <v>2185</v>
      </c>
      <c r="K45" s="3080"/>
      <c r="L45" s="3080"/>
      <c r="M45" s="3080"/>
      <c r="N45" s="3080"/>
      <c r="O45" s="3080"/>
    </row>
    <row r="46" spans="1:15" ht="14.25" customHeight="1">
      <c r="A46" s="3158" t="s">
        <v>2186</v>
      </c>
      <c r="B46" s="3159"/>
      <c r="C46" s="3159"/>
      <c r="D46" s="3159"/>
      <c r="E46" s="3159"/>
      <c r="F46" s="3159"/>
      <c r="G46" s="3160"/>
      <c r="H46" s="2480"/>
      <c r="I46" s="167"/>
      <c r="J46" s="2965">
        <v>1</v>
      </c>
      <c r="K46" s="3080" t="s">
        <v>2187</v>
      </c>
      <c r="L46" s="3080"/>
      <c r="M46" s="3081"/>
      <c r="N46" s="3081"/>
      <c r="O46" s="3081"/>
    </row>
    <row r="47" spans="1:15" ht="12" customHeight="1">
      <c r="A47" s="168" t="s">
        <v>2188</v>
      </c>
      <c r="B47" s="169"/>
      <c r="C47" s="170"/>
      <c r="D47" s="171" t="s">
        <v>2189</v>
      </c>
      <c r="E47" s="23" t="s">
        <v>2190</v>
      </c>
      <c r="F47" s="172" t="s">
        <v>2191</v>
      </c>
      <c r="G47" s="173" t="s">
        <v>2192</v>
      </c>
      <c r="H47" s="2480"/>
      <c r="I47" s="167"/>
      <c r="J47" s="2965">
        <v>2</v>
      </c>
      <c r="K47" s="3080" t="s">
        <v>2193</v>
      </c>
      <c r="L47" s="3080"/>
      <c r="M47" s="3082">
        <f>'数据-取费表'!B2</f>
        <v>43656</v>
      </c>
      <c r="N47" s="3082"/>
      <c r="O47" s="3082"/>
    </row>
    <row r="48" spans="1:15" ht="25.5">
      <c r="A48" s="3148" t="s">
        <v>2194</v>
      </c>
      <c r="B48" s="3149"/>
      <c r="C48" s="3149"/>
      <c r="D48" s="139">
        <f>IF(H48="情况1",0,IF(H48="情况2",D52,IF(H48="情况3",D53,IF(H48="情况4",D54))))</f>
        <v>0</v>
      </c>
      <c r="E48" s="2957" t="str">
        <f>IF(H48="情况4","(销售额-原购置价)×税（费）率","销售额×税（费）率")</f>
        <v>销售额×税（费）率</v>
      </c>
      <c r="F48" s="174" t="str">
        <f>IF(H48="情况1","免征",'数据-取费表'!B41)</f>
        <v>免征</v>
      </c>
      <c r="G48" s="2481" t="s">
        <v>2195</v>
      </c>
      <c r="H48" s="2482" t="s">
        <v>2196</v>
      </c>
      <c r="I48" s="2480"/>
      <c r="J48" s="2965">
        <v>3</v>
      </c>
      <c r="K48" s="3080" t="s">
        <v>2197</v>
      </c>
      <c r="L48" s="3080"/>
      <c r="M48" s="3083">
        <f ca="1">H101</f>
        <v>339</v>
      </c>
      <c r="N48" s="3083"/>
      <c r="O48" s="3083"/>
    </row>
    <row r="49" spans="1:35" ht="25.5" customHeight="1">
      <c r="A49" s="175" t="s">
        <v>2198</v>
      </c>
      <c r="B49" s="3128" t="s">
        <v>2199</v>
      </c>
      <c r="C49" s="3128"/>
      <c r="D49" s="176">
        <v>0</v>
      </c>
      <c r="E49" s="22" t="s">
        <v>2200</v>
      </c>
      <c r="F49" s="27" t="s">
        <v>34</v>
      </c>
      <c r="G49" s="3109"/>
      <c r="H49" s="137"/>
      <c r="I49" s="2483"/>
      <c r="J49" s="2965">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customHeight="1">
      <c r="A50" s="177"/>
      <c r="B50" s="3128" t="s">
        <v>2201</v>
      </c>
      <c r="C50" s="3128"/>
      <c r="D50" s="178"/>
      <c r="E50" s="30"/>
      <c r="F50" s="179"/>
      <c r="G50" s="3110"/>
      <c r="H50" s="137"/>
      <c r="I50" s="2483"/>
      <c r="J50" s="3080" t="s">
        <v>2202</v>
      </c>
      <c r="K50" s="3080"/>
      <c r="L50" s="3080"/>
      <c r="M50" s="3080"/>
      <c r="N50" s="3080"/>
      <c r="O50" s="3080"/>
    </row>
    <row r="51" spans="1:35" ht="12" customHeight="1">
      <c r="A51" s="180"/>
      <c r="B51" s="3128" t="s">
        <v>2203</v>
      </c>
      <c r="C51" s="3128"/>
      <c r="D51" s="181"/>
      <c r="E51" s="29"/>
      <c r="F51" s="179"/>
      <c r="G51" s="3111"/>
      <c r="H51" s="137"/>
      <c r="I51" s="2483"/>
      <c r="J51" s="2964" t="s">
        <v>2204</v>
      </c>
      <c r="K51" s="3080" t="s">
        <v>2205</v>
      </c>
      <c r="L51" s="3080"/>
      <c r="M51" s="2964" t="s">
        <v>2206</v>
      </c>
      <c r="N51" s="2964" t="s">
        <v>2207</v>
      </c>
      <c r="O51" s="2964" t="s">
        <v>2208</v>
      </c>
    </row>
    <row r="52" spans="1:35" ht="24" customHeight="1">
      <c r="A52" s="182" t="s">
        <v>2209</v>
      </c>
      <c r="B52" s="3128" t="s">
        <v>2210</v>
      </c>
      <c r="C52" s="3128"/>
      <c r="D52" s="181">
        <f ca="1">ROUND(D45*'数据-取费表'!B41/(1+'数据-取费表'!C42),0)</f>
        <v>18</v>
      </c>
      <c r="E52" s="11" t="s">
        <v>2211</v>
      </c>
      <c r="F52" s="183">
        <f>'数据-取费表'!B41</f>
        <v>5.6000000000000001E-2</v>
      </c>
      <c r="G52" s="2485"/>
      <c r="H52" s="137"/>
      <c r="I52" s="2483"/>
      <c r="J52" s="2965">
        <v>1</v>
      </c>
      <c r="K52" s="3103" t="s">
        <v>2212</v>
      </c>
      <c r="L52" s="3103"/>
      <c r="M52" s="1749">
        <f>D48</f>
        <v>0</v>
      </c>
      <c r="N52" s="2965" t="str">
        <f>E48</f>
        <v>销售额×税（费）率</v>
      </c>
      <c r="O52" s="1750" t="str">
        <f>F48</f>
        <v>免征</v>
      </c>
    </row>
    <row r="53" spans="1:35" ht="12" customHeight="1">
      <c r="A53" s="182" t="s">
        <v>2213</v>
      </c>
      <c r="B53" s="3129" t="s">
        <v>2214</v>
      </c>
      <c r="C53" s="3130"/>
      <c r="D53" s="181">
        <f ca="1">ROUND(D45*'数据-取费表'!B41/(1+'数据-取费表'!C42),0)</f>
        <v>18</v>
      </c>
      <c r="E53" s="11" t="s">
        <v>2211</v>
      </c>
      <c r="F53" s="183">
        <f>'数据-取费表'!B41</f>
        <v>5.6000000000000001E-2</v>
      </c>
      <c r="G53" s="2485"/>
      <c r="H53" s="137"/>
      <c r="I53" s="2483"/>
      <c r="J53" s="2965">
        <v>2</v>
      </c>
      <c r="K53" s="3103" t="s">
        <v>2215</v>
      </c>
      <c r="L53" s="3103"/>
      <c r="M53" s="1749">
        <f t="shared" ref="M53:O54" ca="1" si="0">D55</f>
        <v>0</v>
      </c>
      <c r="N53" s="2965" t="str">
        <f t="shared" si="0"/>
        <v>销售额×税（费）率</v>
      </c>
      <c r="O53" s="1750">
        <f t="shared" si="0"/>
        <v>5.0000000000000001E-4</v>
      </c>
    </row>
    <row r="54" spans="1:35" ht="12" customHeight="1">
      <c r="A54" s="182" t="s">
        <v>2216</v>
      </c>
      <c r="B54" s="3129" t="s">
        <v>2217</v>
      </c>
      <c r="C54" s="3130"/>
      <c r="D54" s="181">
        <f ca="1">C68</f>
        <v>18</v>
      </c>
      <c r="E54" s="29" t="s">
        <v>2218</v>
      </c>
      <c r="F54" s="183">
        <f>'数据-取费表'!B41</f>
        <v>5.6000000000000001E-2</v>
      </c>
      <c r="G54" s="2485"/>
      <c r="H54" s="2486"/>
      <c r="I54" s="2483"/>
      <c r="J54" s="2965">
        <v>3</v>
      </c>
      <c r="K54" s="3103" t="s">
        <v>2219</v>
      </c>
      <c r="L54" s="3103"/>
      <c r="M54" s="1749">
        <f t="shared" ca="1" si="0"/>
        <v>192</v>
      </c>
      <c r="N54" s="2965" t="str">
        <f t="shared" si="0"/>
        <v>增值额×税（费）率</v>
      </c>
      <c r="O54" s="1751" t="str">
        <f t="shared" si="0"/>
        <v>——</v>
      </c>
    </row>
    <row r="55" spans="1:35" ht="24" customHeight="1">
      <c r="A55" s="3167" t="s">
        <v>2220</v>
      </c>
      <c r="B55" s="3149"/>
      <c r="C55" s="3149"/>
      <c r="D55" s="184">
        <f ca="1">IF(H55="个人住宅",0,ROUND(D45*I55,0))</f>
        <v>0</v>
      </c>
      <c r="E55" s="11" t="s">
        <v>2221</v>
      </c>
      <c r="F55" s="183">
        <f>IF(H55="正常",I55,"免征")</f>
        <v>5.0000000000000001E-4</v>
      </c>
      <c r="G55" s="2485"/>
      <c r="H55" s="2482" t="s">
        <v>2222</v>
      </c>
      <c r="I55" s="185">
        <f>'数据-取费表'!B49</f>
        <v>5.0000000000000001E-4</v>
      </c>
      <c r="J55" s="2965" t="str">
        <f>IF(H59="非个人房产","",4)</f>
        <v/>
      </c>
      <c r="K55" s="3103" t="str">
        <f>IF(H59="非个人房产","——","个人所得税")</f>
        <v>——</v>
      </c>
      <c r="L55" s="3103"/>
      <c r="M55" s="1752" t="str">
        <f>D59</f>
        <v>——</v>
      </c>
      <c r="N55" s="2966" t="str">
        <f>E59</f>
        <v>——</v>
      </c>
      <c r="O55" s="1753" t="str">
        <f>F59</f>
        <v>——</v>
      </c>
    </row>
    <row r="56" spans="1:35" ht="24.75">
      <c r="A56" s="3167" t="s">
        <v>2223</v>
      </c>
      <c r="B56" s="3149"/>
      <c r="C56" s="3149"/>
      <c r="D56" s="184">
        <f ca="1">IF(H56="个人住宅",D57,D58)</f>
        <v>192</v>
      </c>
      <c r="E56" s="11" t="s">
        <v>2224</v>
      </c>
      <c r="F56" s="183" t="str">
        <f>IF(H56="正常",F58,"免征")</f>
        <v>——</v>
      </c>
      <c r="G56" s="2487" t="s">
        <v>2225</v>
      </c>
      <c r="H56" s="2488" t="s">
        <v>2222</v>
      </c>
      <c r="I56" s="2489"/>
      <c r="J56" s="2965" t="str">
        <f>IF(项目基本情况!K6="上海银行",IF(J55="",4,J55+1),"")</f>
        <v/>
      </c>
      <c r="K56" s="3086" t="str">
        <f>IF(项目基本情况!K6="上海银行","其他处置费用","")</f>
        <v/>
      </c>
      <c r="L56" s="3087"/>
      <c r="M56" s="1749" t="str">
        <f>IF(项目基本情况!K6="上海银行",M69,"")</f>
        <v/>
      </c>
      <c r="N56" s="3089" t="str">
        <f>IF(项目基本情况!K6="上海银行","包含处置中涉及的律师、诉讼、拍卖、评估等费用","")</f>
        <v/>
      </c>
      <c r="O56" s="3090"/>
    </row>
    <row r="57" spans="1:35" ht="12.75">
      <c r="A57" s="182" t="s">
        <v>2198</v>
      </c>
      <c r="B57" s="3134" t="s">
        <v>2226</v>
      </c>
      <c r="C57" s="3135"/>
      <c r="D57" s="186">
        <v>0</v>
      </c>
      <c r="E57" s="22" t="s">
        <v>2200</v>
      </c>
      <c r="F57" s="154"/>
      <c r="G57" s="2485"/>
      <c r="H57" s="2489"/>
      <c r="I57" s="2489"/>
      <c r="J57" s="3103">
        <f>IF(AND(J55="",J56=""),4,IF(项目基本情况!K6="上海银行",'结果表-办公'!J56+1,'结果表-办公'!J55+1))</f>
        <v>4</v>
      </c>
      <c r="K57" s="3103" t="s">
        <v>2227</v>
      </c>
      <c r="L57" s="2490" t="s">
        <v>2228</v>
      </c>
      <c r="M57" s="1754"/>
      <c r="N57" s="1755">
        <f ca="1">SUMIF(M52:M56,"&lt;9e307")</f>
        <v>192</v>
      </c>
      <c r="O57" s="2491"/>
      <c r="P57" s="1748" t="e">
        <f ca="1">N57/M49</f>
        <v>#VALUE!</v>
      </c>
    </row>
    <row r="58" spans="1:35" ht="24.75">
      <c r="A58" s="182" t="s">
        <v>2209</v>
      </c>
      <c r="B58" s="3134" t="s">
        <v>2229</v>
      </c>
      <c r="C58" s="3147"/>
      <c r="D58" s="184">
        <f ca="1">IF(H58="转让取得",C81,C97)</f>
        <v>192</v>
      </c>
      <c r="E58" s="11" t="s">
        <v>2224</v>
      </c>
      <c r="F58" s="23" t="s">
        <v>34</v>
      </c>
      <c r="G58" s="2485"/>
      <c r="H58" s="2488" t="s">
        <v>2230</v>
      </c>
      <c r="I58" s="2489"/>
      <c r="J58" s="3103"/>
      <c r="K58" s="3103"/>
      <c r="L58" s="2490" t="s">
        <v>2231</v>
      </c>
      <c r="M58" s="1756"/>
      <c r="N58" s="2492" t="str">
        <f ca="1">NUMBERSTRING(INT(N57*10000),2)&amp;"元整"</f>
        <v>壹佰玖拾贰万元整</v>
      </c>
      <c r="O58" s="2493"/>
    </row>
    <row r="59" spans="1:35" ht="24.75" thickBot="1">
      <c r="A59" s="3107" t="s">
        <v>2232</v>
      </c>
      <c r="B59" s="3108"/>
      <c r="C59" s="3108"/>
      <c r="D59" s="187" t="str">
        <f>IF(H59="非个人房产","——",IF(H59="个人住宅",0,ROUND(D45*I59,0)))</f>
        <v>——</v>
      </c>
      <c r="E59" s="188" t="str">
        <f>IF(H59="非个人房产","——","销售额×税（费）率")</f>
        <v>——</v>
      </c>
      <c r="F59" s="189" t="str">
        <f>IF(H59="非个人房产","——",IF(H59="个人住宅","免征",I59))</f>
        <v>——</v>
      </c>
      <c r="G59" s="2494" t="s">
        <v>2225</v>
      </c>
      <c r="H59" s="2488" t="s">
        <v>2233</v>
      </c>
      <c r="I59" s="190">
        <v>0.01</v>
      </c>
      <c r="J59" s="3105">
        <f>J57+1</f>
        <v>5</v>
      </c>
      <c r="K59" s="3103" t="s">
        <v>2234</v>
      </c>
      <c r="L59" s="2965" t="s">
        <v>2228</v>
      </c>
      <c r="M59" s="1757"/>
      <c r="N59" s="1758" t="e">
        <f ca="1">M49-N57</f>
        <v>#VALUE!</v>
      </c>
      <c r="O59" s="2495"/>
    </row>
    <row r="60" spans="1:35" ht="12" customHeight="1">
      <c r="A60" s="2496"/>
      <c r="B60" s="2418"/>
      <c r="C60" s="2418"/>
      <c r="D60" s="2418"/>
      <c r="E60" s="2165"/>
      <c r="F60" s="2489"/>
      <c r="G60" s="2489"/>
      <c r="H60" s="2497"/>
      <c r="I60" s="137"/>
      <c r="J60" s="3106"/>
      <c r="K60" s="3103"/>
      <c r="L60" s="2490" t="s">
        <v>2231</v>
      </c>
      <c r="M60" s="1756"/>
      <c r="N60" s="2492" t="e">
        <f ca="1">NUMBERSTRING(INT(N59*10000),2)&amp;"元整"</f>
        <v>#VALUE!</v>
      </c>
      <c r="O60" s="2493"/>
    </row>
    <row r="61" spans="1:35" ht="13.5" thickBot="1">
      <c r="A61" s="3166" t="s">
        <v>2235</v>
      </c>
      <c r="B61" s="3166"/>
      <c r="C61" s="3166"/>
      <c r="D61" s="3166"/>
      <c r="E61" s="3166"/>
      <c r="F61" s="2489"/>
      <c r="G61" s="2489"/>
      <c r="H61" s="2497"/>
      <c r="I61" s="137"/>
      <c r="J61" s="2965">
        <f>J59+1</f>
        <v>6</v>
      </c>
      <c r="K61" s="3103" t="s">
        <v>2236</v>
      </c>
      <c r="L61" s="3103"/>
      <c r="M61" s="1759"/>
      <c r="N61" s="1760" t="e">
        <f ca="1">ROUND(N59*10000/'数据-汇总表'!E3,0)</f>
        <v>#VALUE!</v>
      </c>
      <c r="O61" s="2498"/>
    </row>
    <row r="62" spans="1:35" ht="12.75">
      <c r="A62" s="3123" t="s">
        <v>2237</v>
      </c>
      <c r="B62" s="3124"/>
      <c r="C62" s="2960"/>
      <c r="D62" s="2960" t="s">
        <v>2238</v>
      </c>
      <c r="E62" s="191" t="s">
        <v>2239</v>
      </c>
      <c r="F62" s="2489"/>
      <c r="G62" s="2489"/>
      <c r="H62" s="2497"/>
      <c r="I62" s="137"/>
    </row>
    <row r="63" spans="1:35" ht="12.75">
      <c r="A63" s="202" t="s">
        <v>775</v>
      </c>
      <c r="B63" s="192" t="s">
        <v>2240</v>
      </c>
      <c r="C63" s="193">
        <f ca="1">ROUND((C64+C65)/(1+'数据-取费表'!C42),0)</f>
        <v>323</v>
      </c>
      <c r="D63" s="194"/>
      <c r="E63" s="195"/>
      <c r="F63" s="2489"/>
      <c r="G63" s="2489"/>
      <c r="H63" s="2497"/>
      <c r="I63" s="137"/>
      <c r="J63" s="3088" t="s">
        <v>2241</v>
      </c>
      <c r="K63" s="2969" t="s">
        <v>2242</v>
      </c>
      <c r="L63" s="1747" t="e">
        <f>IF(M49&gt;10000,M49*0.5%,IF(AND(M49&gt;1000,M49&lt;=10000),M49*1%,IF(AND(M49&gt;100,M49&lt;=1000),M49*3%,IF(AND(M49&gt;10,M49&lt;=100),M49*5%,M49*8%))))</f>
        <v>#VALUE!</v>
      </c>
      <c r="M63" s="23" t="e">
        <f>ROUND(L63,1)</f>
        <v>#VALUE!</v>
      </c>
      <c r="Z63" s="2423"/>
      <c r="AI63" s="2424"/>
    </row>
    <row r="64" spans="1:35" ht="14.25" customHeight="1">
      <c r="A64" s="196" t="s">
        <v>770</v>
      </c>
      <c r="B64" s="197" t="s">
        <v>2243</v>
      </c>
      <c r="C64" s="198">
        <f ca="1">D45</f>
        <v>339</v>
      </c>
      <c r="D64" s="199" t="s">
        <v>32</v>
      </c>
      <c r="E64" s="200"/>
      <c r="F64" s="2489"/>
      <c r="G64" s="2489"/>
      <c r="H64" s="2497"/>
      <c r="I64" s="137"/>
      <c r="J64" s="3088"/>
      <c r="K64" s="2969" t="s">
        <v>2244</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2245</v>
      </c>
      <c r="Z64" s="2423"/>
      <c r="AI64" s="2424"/>
    </row>
    <row r="65" spans="1:35" ht="14.25" customHeight="1">
      <c r="A65" s="196" t="s">
        <v>771</v>
      </c>
      <c r="B65" s="197" t="s">
        <v>2246</v>
      </c>
      <c r="C65" s="201"/>
      <c r="D65" s="199"/>
      <c r="E65" s="200"/>
      <c r="F65" s="2489"/>
      <c r="G65" s="2489"/>
      <c r="H65" s="2497"/>
      <c r="I65" s="137"/>
      <c r="J65" s="3088"/>
      <c r="K65" s="2969" t="s">
        <v>2247</v>
      </c>
      <c r="L65" s="1747" t="e">
        <f>IF(M49&gt;1000,M49*0.1%,IF(AND(M49&gt;500,M49&lt;=1000),M49*0.5%,IF(AND(M49&gt;50,M49&lt;=500),M49*1%,IF(AND(M49&gt;1,M49&lt;=50),M49*1.5%))))</f>
        <v>#VALUE!</v>
      </c>
      <c r="M65" s="23" t="e">
        <f t="shared" si="1"/>
        <v>#VALUE!</v>
      </c>
      <c r="N65" s="137" t="s">
        <v>2245</v>
      </c>
      <c r="Z65" s="2423"/>
      <c r="AI65" s="2424"/>
    </row>
    <row r="66" spans="1:35" ht="14.25" customHeight="1">
      <c r="A66" s="202" t="s">
        <v>772</v>
      </c>
      <c r="B66" s="203" t="s">
        <v>2248</v>
      </c>
      <c r="C66" s="204"/>
      <c r="D66" s="205" t="s">
        <v>32</v>
      </c>
      <c r="E66" s="1771" t="s">
        <v>1367</v>
      </c>
      <c r="F66" s="2489"/>
      <c r="G66" s="2489"/>
      <c r="H66" s="2497"/>
      <c r="I66" s="137"/>
      <c r="J66" s="3088"/>
      <c r="K66" s="2969" t="s">
        <v>2249</v>
      </c>
      <c r="L66" s="1747" t="e">
        <f>M49*0.5%</f>
        <v>#VALUE!</v>
      </c>
      <c r="M66" s="23" t="e">
        <f>IF(L66&gt;0.5,0.5,ROUND(L66,0))</f>
        <v>#VALUE!</v>
      </c>
      <c r="N66" s="137" t="s">
        <v>2250</v>
      </c>
      <c r="Z66" s="2423"/>
      <c r="AI66" s="2424"/>
    </row>
    <row r="67" spans="1:35" ht="14.25" customHeight="1">
      <c r="A67" s="202" t="s">
        <v>773</v>
      </c>
      <c r="B67" s="203" t="s">
        <v>2251</v>
      </c>
      <c r="C67" s="206">
        <f ca="1">C63-C66</f>
        <v>323</v>
      </c>
      <c r="D67" s="199" t="s">
        <v>32</v>
      </c>
      <c r="E67" s="200"/>
      <c r="F67" s="2489"/>
      <c r="G67" s="2489"/>
      <c r="H67" s="2497"/>
      <c r="I67" s="137"/>
      <c r="J67" s="3088"/>
      <c r="K67" s="2969"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customHeight="1" thickBot="1">
      <c r="A68" s="207" t="s">
        <v>774</v>
      </c>
      <c r="B68" s="208" t="s">
        <v>2253</v>
      </c>
      <c r="C68" s="209">
        <f ca="1">IF(C67&lt;=0,0,ROUND(C67*D68,0))</f>
        <v>18</v>
      </c>
      <c r="D68" s="210">
        <f>'数据-取费表'!B41</f>
        <v>5.6000000000000001E-2</v>
      </c>
      <c r="E68" s="211"/>
      <c r="F68" s="2489"/>
      <c r="G68" s="2489"/>
      <c r="H68" s="2497"/>
      <c r="I68" s="137"/>
      <c r="J68" s="3088"/>
      <c r="K68" s="2969" t="s">
        <v>2254</v>
      </c>
      <c r="L68" s="1747" t="e">
        <f>IF(M49&gt;10000,M49*0.5%,IF(AND(M49&gt;5000,M49&lt;=10000),M49*1%,IF(AND(M49&gt;1000,M49&lt;=5000),M49*2%,IF(AND(M49&gt;200,M49&lt;=1000),M49*3%,M49*5%))))</f>
        <v>#VALUE!</v>
      </c>
      <c r="M68" s="23" t="e">
        <f>ROUND(L68,1)</f>
        <v>#VALUE!</v>
      </c>
      <c r="Z68" s="2423"/>
      <c r="AI68" s="2424"/>
    </row>
    <row r="69" spans="1:35" s="2446" customFormat="1" ht="16.5" customHeight="1">
      <c r="A69" s="2500"/>
      <c r="B69" s="2501"/>
      <c r="C69" s="2502"/>
      <c r="D69" s="2503"/>
      <c r="E69" s="2504"/>
      <c r="F69" s="2165"/>
      <c r="G69" s="2165"/>
      <c r="H69" s="2164"/>
      <c r="I69" s="2418"/>
      <c r="J69" s="3088"/>
      <c r="K69" s="2969" t="s">
        <v>2255</v>
      </c>
      <c r="L69" s="2505"/>
      <c r="M69" s="23" t="e">
        <f>ROUND(SUM(M63:M68),0)</f>
        <v>#VALUE!</v>
      </c>
      <c r="N69" s="1748"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32" t="s">
        <v>2256</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3" t="s">
        <v>2237</v>
      </c>
      <c r="B71" s="3124"/>
      <c r="C71" s="2960"/>
      <c r="D71" s="2960" t="s">
        <v>2238</v>
      </c>
      <c r="E71" s="212" t="s">
        <v>2239</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2257</v>
      </c>
      <c r="C72" s="206">
        <f ca="1">ROUND(D45/(1+'数据-取费表'!C42),0)</f>
        <v>323</v>
      </c>
      <c r="D72" s="199" t="s">
        <v>32</v>
      </c>
      <c r="E72" s="2959"/>
      <c r="F72" s="2954"/>
      <c r="G72" s="295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2258</v>
      </c>
      <c r="C73" s="206">
        <f ca="1">C74+C78</f>
        <v>2</v>
      </c>
      <c r="D73" s="199" t="s">
        <v>32</v>
      </c>
      <c r="E73" s="2959"/>
      <c r="F73" s="2954"/>
      <c r="G73" s="295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2259</v>
      </c>
      <c r="C74" s="199">
        <f>ROUND(IF(G77="2016年5月1日后购买",C75/(1+'数据-取费表'!C42)+C76+C77,C75+C76+C77),0)</f>
        <v>0</v>
      </c>
      <c r="D74" s="199" t="s">
        <v>32</v>
      </c>
      <c r="E74" s="2959"/>
      <c r="F74" s="2954"/>
      <c r="G74" s="295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2260</v>
      </c>
      <c r="C75" s="217"/>
      <c r="D75" s="199" t="s">
        <v>32</v>
      </c>
      <c r="E75" s="218" t="s">
        <v>2261</v>
      </c>
      <c r="F75" s="2511" t="s">
        <v>2262</v>
      </c>
      <c r="G75" s="218" t="s">
        <v>2263</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2264</v>
      </c>
      <c r="C76" s="199">
        <f>IF(F75="购房发票",ROUND(C75*H75*D76,0),0)</f>
        <v>0</v>
      </c>
      <c r="D76" s="221">
        <v>0.05</v>
      </c>
      <c r="E76" s="3129" t="s">
        <v>2265</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2266</v>
      </c>
      <c r="C77" s="199">
        <f>ROUND(IF(G77="个人住宅",0,IF(G77="2016年5月1日前购买",C75*D77,C75*D77/(1+'数据-取费表'!C42))),0)</f>
        <v>0</v>
      </c>
      <c r="D77" s="222">
        <f>'数据-取费表'!B48+'数据-取费表'!B49</f>
        <v>3.0499999999999999E-2</v>
      </c>
      <c r="E77" s="2970" t="s">
        <v>2267</v>
      </c>
      <c r="F77" s="223"/>
      <c r="G77" s="2513" t="s">
        <v>2268</v>
      </c>
      <c r="H77" s="296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2269</v>
      </c>
      <c r="C78" s="224">
        <f ca="1">ROUND(D45*D78/(1+'数据-取费表'!C42),0)</f>
        <v>2</v>
      </c>
      <c r="D78" s="225">
        <f>'数据-取费表'!B43</f>
        <v>6.000000000000001E-3</v>
      </c>
      <c r="E78" s="3120" t="s">
        <v>2270</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2271</v>
      </c>
      <c r="C79" s="206">
        <f ca="1">C72-C73</f>
        <v>321</v>
      </c>
      <c r="D79" s="199" t="s">
        <v>32</v>
      </c>
      <c r="E79" s="2959"/>
      <c r="F79" s="2954"/>
      <c r="G79" s="295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2272</v>
      </c>
      <c r="C80" s="226">
        <f ca="1">IF(C79&lt;=0,0,C79/C73)</f>
        <v>160.5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2273</v>
      </c>
      <c r="C81" s="227">
        <f ca="1">ROUND(IF(C79&lt;=0,0,IF(C80&gt;=200%,C79*60%-C73*35%,IF(C80&gt;=100%,C79*50%-C73*15%,IF(C80&gt;=50%,C79*40%-C73*5%,IF(C80&lt;50%,C79*30%,0))))),0)</f>
        <v>192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2274</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3" t="s">
        <v>2237</v>
      </c>
      <c r="B84" s="3124"/>
      <c r="C84" s="2960"/>
      <c r="D84" s="2960" t="s">
        <v>2238</v>
      </c>
      <c r="E84" s="212" t="s">
        <v>2239</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2257</v>
      </c>
      <c r="C85" s="206">
        <f ca="1">ROUND(D45/(1+'数据-取费表'!C42),0)</f>
        <v>323</v>
      </c>
      <c r="D85" s="199" t="s">
        <v>32</v>
      </c>
      <c r="E85" s="2959"/>
      <c r="F85" s="2954"/>
      <c r="G85" s="295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2258</v>
      </c>
      <c r="C86" s="206">
        <f ca="1">IF(H88="仅含出让金",C87+C90+C91+C92+C93+C94,C87+C91+C92+C93+C94)</f>
        <v>2</v>
      </c>
      <c r="D86" s="234"/>
      <c r="E86" s="2959"/>
      <c r="F86" s="2954"/>
      <c r="G86" s="295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2275</v>
      </c>
      <c r="C87" s="224">
        <f>C88+C89</f>
        <v>0</v>
      </c>
      <c r="D87" s="225"/>
      <c r="E87" s="2955"/>
      <c r="F87" s="2956"/>
      <c r="G87" s="2956"/>
      <c r="H87" s="295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2276</v>
      </c>
      <c r="C88" s="235"/>
      <c r="D88" s="225"/>
      <c r="E88" s="236" t="s">
        <v>2277</v>
      </c>
      <c r="F88" s="2956"/>
      <c r="G88" s="237"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2266</v>
      </c>
      <c r="C89" s="224">
        <f>ROUND(C88*D89,0)</f>
        <v>0</v>
      </c>
      <c r="D89" s="225">
        <f>'数据-取费表'!B48+'数据-取费表'!B49</f>
        <v>3.0499999999999999E-2</v>
      </c>
      <c r="E89" s="236" t="s">
        <v>2279</v>
      </c>
      <c r="F89" s="2956"/>
      <c r="G89" s="2956"/>
      <c r="H89" s="295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2280</v>
      </c>
      <c r="C90" s="235"/>
      <c r="D90" s="225"/>
      <c r="E90" s="236" t="str">
        <f>IF(H88="-","土地取得成本中已包含该笔费用"," ")</f>
        <v xml:space="preserve"> </v>
      </c>
      <c r="F90" s="2956"/>
      <c r="G90" s="2956"/>
      <c r="H90" s="295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2281</v>
      </c>
      <c r="B91" s="197" t="s">
        <v>2282</v>
      </c>
      <c r="C91" s="224">
        <f>IF(H91="——",成本法!C33,I91)</f>
        <v>0</v>
      </c>
      <c r="D91" s="225"/>
      <c r="E91" s="3120" t="s">
        <v>2283</v>
      </c>
      <c r="F91" s="3121"/>
      <c r="G91" s="312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2285</v>
      </c>
      <c r="B92" s="197" t="s">
        <v>2286</v>
      </c>
      <c r="C92" s="224">
        <f>ROUND((C87+C90+C91)*D92,0)</f>
        <v>0</v>
      </c>
      <c r="D92" s="225">
        <v>0.1</v>
      </c>
      <c r="E92" s="3120" t="s">
        <v>2287</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2288</v>
      </c>
      <c r="B93" s="197" t="s">
        <v>2269</v>
      </c>
      <c r="C93" s="224">
        <f ca="1">ROUND(D45*D93/(1+'数据-取费表'!C42),0)</f>
        <v>2</v>
      </c>
      <c r="D93" s="225">
        <f>'数据-取费表'!B43</f>
        <v>6.000000000000001E-3</v>
      </c>
      <c r="E93" s="3120" t="s">
        <v>2270</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2289</v>
      </c>
      <c r="B94" s="197" t="s">
        <v>2290</v>
      </c>
      <c r="C94" s="235">
        <f>ROUND((C87+C90+C91)*D94,0)</f>
        <v>0</v>
      </c>
      <c r="D94" s="225">
        <v>0.2</v>
      </c>
      <c r="E94" s="3168" t="s">
        <v>2291</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2271</v>
      </c>
      <c r="C95" s="206">
        <f ca="1">ROUND(C85-C86,0)</f>
        <v>321</v>
      </c>
      <c r="D95" s="199" t="s">
        <v>32</v>
      </c>
      <c r="E95" s="2959"/>
      <c r="F95" s="2954"/>
      <c r="G95" s="295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2272</v>
      </c>
      <c r="C96" s="226">
        <f ca="1">IF(C95&lt;=0,0,C95/C86)</f>
        <v>160.5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2273</v>
      </c>
      <c r="C97" s="227">
        <f ca="1">ROUND(IF(C95&lt;=0,0,IF(C96&gt;=200%,C95*60%-C86*35%,IF(C96&gt;=100%,C95*50%-C86*15%,IF(C96&gt;=50%,C95*40%-C86*5%,IF(C96&lt;50%,C95*30%,0))))),0)</f>
        <v>192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2292</v>
      </c>
      <c r="B99" s="2418"/>
      <c r="C99" s="2418"/>
      <c r="D99" s="2418"/>
      <c r="E99" s="2165"/>
      <c r="F99" s="2165"/>
      <c r="G99" s="2165"/>
      <c r="H99" s="2164"/>
      <c r="I99" s="137"/>
    </row>
    <row r="100" spans="1:35" ht="18.75" customHeight="1">
      <c r="A100" s="3072" t="s">
        <v>2293</v>
      </c>
      <c r="B100" s="3073"/>
      <c r="C100" s="3073"/>
      <c r="D100" s="3104"/>
      <c r="E100" s="3073" t="s">
        <v>2294</v>
      </c>
      <c r="F100" s="3073"/>
      <c r="G100" s="3073"/>
      <c r="H100" s="3104"/>
      <c r="I100" s="137"/>
    </row>
    <row r="101" spans="1:35" ht="18.75" customHeight="1">
      <c r="A101" s="3112" t="s">
        <v>2295</v>
      </c>
      <c r="B101" s="3113"/>
      <c r="C101" s="734" t="str">
        <f>C4</f>
        <v>比较法-办公</v>
      </c>
      <c r="D101" s="735" t="str">
        <f>D4</f>
        <v>收益法-办公</v>
      </c>
      <c r="E101" s="3084" t="s">
        <v>2296</v>
      </c>
      <c r="F101" s="3085"/>
      <c r="G101" s="2520" t="s">
        <v>2297</v>
      </c>
      <c r="H101" s="1043">
        <f ca="1">H118</f>
        <v>339</v>
      </c>
      <c r="I101" s="137"/>
    </row>
    <row r="102" spans="1:35" ht="18.75" customHeight="1">
      <c r="A102" s="3114" t="s">
        <v>2298</v>
      </c>
      <c r="B102" s="2520" t="s">
        <v>2297</v>
      </c>
      <c r="C102" s="734">
        <f ca="1">C19</f>
        <v>374</v>
      </c>
      <c r="D102" s="735">
        <f ca="1">D19</f>
        <v>286</v>
      </c>
      <c r="E102" s="3084"/>
      <c r="F102" s="3085"/>
      <c r="G102" s="2520" t="s">
        <v>2299</v>
      </c>
      <c r="H102" s="370">
        <f ca="1">I118</f>
        <v>11436</v>
      </c>
      <c r="I102" s="137"/>
    </row>
    <row r="103" spans="1:35" ht="42.75" customHeight="1">
      <c r="A103" s="3114"/>
      <c r="B103" s="2520" t="s">
        <v>2299</v>
      </c>
      <c r="C103" s="736">
        <f ca="1">C20</f>
        <v>12615</v>
      </c>
      <c r="D103" s="737">
        <f ca="1">D20</f>
        <v>9667</v>
      </c>
      <c r="E103" s="3078" t="s">
        <v>2300</v>
      </c>
      <c r="F103" s="3079"/>
      <c r="G103" s="2521" t="s">
        <v>2301</v>
      </c>
      <c r="H103" s="1043">
        <f>IF(D36="正常操作",H104+H105+H106,H105+H106)</f>
        <v>0</v>
      </c>
      <c r="I103" s="137"/>
    </row>
    <row r="104" spans="1:35" ht="18.75" customHeight="1">
      <c r="A104" s="3114" t="s">
        <v>2302</v>
      </c>
      <c r="B104" s="2522" t="s">
        <v>2297</v>
      </c>
      <c r="C104" s="738">
        <f ca="1">H118</f>
        <v>339</v>
      </c>
      <c r="D104" s="739"/>
      <c r="E104" s="2266" t="s">
        <v>2303</v>
      </c>
      <c r="F104" s="2257"/>
      <c r="G104" s="2521" t="s">
        <v>2301</v>
      </c>
      <c r="H104" s="1044">
        <f>IF(D36="同一抵押权人同一抵押物续贷",C36&amp;"（未扣减，详见特别提示）",C36)</f>
        <v>0</v>
      </c>
      <c r="I104" s="137"/>
    </row>
    <row r="105" spans="1:35" ht="18.75" customHeight="1" thickBot="1">
      <c r="A105" s="3126"/>
      <c r="B105" s="2523" t="s">
        <v>2299</v>
      </c>
      <c r="C105" s="740">
        <f ca="1">I118</f>
        <v>11436</v>
      </c>
      <c r="D105" s="741"/>
      <c r="E105" s="2266" t="s">
        <v>2304</v>
      </c>
      <c r="F105" s="2257"/>
      <c r="G105" s="2521" t="s">
        <v>2301</v>
      </c>
      <c r="H105" s="1044">
        <f>C37</f>
        <v>0</v>
      </c>
      <c r="I105" s="137"/>
    </row>
    <row r="106" spans="1:35" ht="18.75" customHeight="1">
      <c r="A106" s="2418" t="s">
        <v>2305</v>
      </c>
      <c r="B106" s="2418"/>
      <c r="C106" s="2418"/>
      <c r="D106" s="2418"/>
      <c r="E106" s="2524" t="s">
        <v>2306</v>
      </c>
      <c r="F106" s="2257"/>
      <c r="G106" s="2521" t="s">
        <v>2301</v>
      </c>
      <c r="H106" s="1044">
        <f>C38</f>
        <v>0</v>
      </c>
      <c r="I106" s="137"/>
    </row>
    <row r="107" spans="1:35" ht="18.75" customHeight="1">
      <c r="A107" s="137"/>
      <c r="B107" s="137"/>
      <c r="C107" s="137"/>
      <c r="D107" s="137"/>
      <c r="E107" s="3115" t="str">
        <f>IF(项目基本情况!E8="已注销","——","3.房地产抵押价值")</f>
        <v>3.房地产抵押价值</v>
      </c>
      <c r="F107" s="3085"/>
      <c r="G107" s="2520" t="s">
        <v>2297</v>
      </c>
      <c r="H107" s="1043">
        <f ca="1">IF(E107="——","——",H101-H103)</f>
        <v>339</v>
      </c>
      <c r="I107" s="137"/>
    </row>
    <row r="108" spans="1:35" ht="18.75" customHeight="1">
      <c r="A108" s="137"/>
      <c r="B108" s="137"/>
      <c r="C108" s="137"/>
      <c r="D108" s="137"/>
      <c r="E108" s="3115"/>
      <c r="F108" s="3085"/>
      <c r="G108" s="2520" t="s">
        <v>2299</v>
      </c>
      <c r="H108" s="370">
        <f ca="1">ROUND(H107*10000/'数据-汇总表'!E3,0)</f>
        <v>1530</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2297</v>
      </c>
      <c r="H109" s="347" t="str">
        <f>IF(E109="——","——",H101-H105-H106)</f>
        <v>——</v>
      </c>
      <c r="I109" s="137"/>
    </row>
    <row r="110" spans="1:35" ht="18.75" customHeight="1">
      <c r="A110" s="137"/>
      <c r="B110" s="137"/>
      <c r="C110" s="137"/>
      <c r="D110" s="137"/>
      <c r="E110" s="3115"/>
      <c r="F110" s="3085"/>
      <c r="G110" s="2520" t="s">
        <v>2299</v>
      </c>
      <c r="H110" s="370"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2297</v>
      </c>
      <c r="H111" s="1043" t="str">
        <f>IF(E111="——","——",N59)</f>
        <v>——</v>
      </c>
      <c r="I111" s="137"/>
    </row>
    <row r="112" spans="1:35" ht="18.75" customHeight="1" thickBot="1">
      <c r="A112" s="137"/>
      <c r="B112" s="137"/>
      <c r="C112" s="137"/>
      <c r="D112" s="137"/>
      <c r="E112" s="3118"/>
      <c r="F112" s="3119"/>
      <c r="G112" s="2525" t="s">
        <v>2299</v>
      </c>
      <c r="H112" s="788" t="str">
        <f>IF(E111="——","——",N61)</f>
        <v>——</v>
      </c>
      <c r="I112" s="137"/>
    </row>
    <row r="113" spans="1:11" ht="18.75" customHeight="1">
      <c r="A113" s="137"/>
      <c r="B113" s="137"/>
      <c r="C113" s="137"/>
      <c r="D113" s="137"/>
      <c r="E113" s="3127" t="s">
        <v>2305</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2307</v>
      </c>
      <c r="B115" s="3141"/>
      <c r="C115" s="3141"/>
      <c r="D115" s="3141"/>
      <c r="E115" s="3141"/>
      <c r="F115" s="3141"/>
      <c r="G115" s="3141"/>
      <c r="H115" s="3141"/>
      <c r="I115" s="3142"/>
    </row>
    <row r="116" spans="1:11" ht="27" customHeight="1">
      <c r="A116" s="3051" t="s">
        <v>2308</v>
      </c>
      <c r="B116" s="3094" t="s">
        <v>2309</v>
      </c>
      <c r="C116" s="3094" t="s">
        <v>2310</v>
      </c>
      <c r="D116" s="3100" t="s">
        <v>2311</v>
      </c>
      <c r="E116" s="3101"/>
      <c r="F116" s="3136" t="s">
        <v>2312</v>
      </c>
      <c r="G116" s="3136"/>
      <c r="H116" s="3051" t="s">
        <v>2313</v>
      </c>
      <c r="I116" s="3051"/>
    </row>
    <row r="117" spans="1:11" ht="18.75" customHeight="1">
      <c r="A117" s="3051"/>
      <c r="B117" s="3095"/>
      <c r="C117" s="3095"/>
      <c r="D117" s="2952" t="s">
        <v>2314</v>
      </c>
      <c r="E117" s="2952" t="s">
        <v>2315</v>
      </c>
      <c r="F117" s="2952" t="s">
        <v>2314</v>
      </c>
      <c r="G117" s="2952" t="s">
        <v>2316</v>
      </c>
      <c r="H117" s="2952" t="s">
        <v>2314</v>
      </c>
      <c r="I117" s="2952" t="s">
        <v>2316</v>
      </c>
    </row>
    <row r="118" spans="1:11" ht="24.75" customHeight="1">
      <c r="A118" s="2526" t="str">
        <f>项目基本情况!S2</f>
        <v>出让国有建设用地使用权及在建建筑物房地产</v>
      </c>
      <c r="B118" s="2952">
        <f>M18</f>
        <v>296.32</v>
      </c>
      <c r="C118" s="2952">
        <f>M19</f>
        <v>12.79</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339</v>
      </c>
      <c r="I118" s="2952">
        <f ca="1">ROUND(IF(D32="楼面单价",C32,H118*10000/B118),0)</f>
        <v>11436</v>
      </c>
    </row>
    <row r="119" spans="1:11" ht="18.75" customHeight="1">
      <c r="A119" s="3051" t="s">
        <v>2317</v>
      </c>
      <c r="B119" s="3051"/>
      <c r="C119" s="3051"/>
      <c r="D119" s="3096" t="e">
        <f ca="1">NUMBERSTRING(INT(D118*10000),2)&amp;"元整"</f>
        <v>#REF!</v>
      </c>
      <c r="E119" s="3097"/>
      <c r="F119" s="3096" t="e">
        <f ca="1">NUMBERSTRING(INT(F118*10000),2)&amp;"元整"</f>
        <v>#REF!</v>
      </c>
      <c r="G119" s="3097"/>
      <c r="H119" s="3096" t="str">
        <f ca="1">NUMBERSTRING(INT(H118*10000),2)&amp;"元整"</f>
        <v>叁佰叁拾玖万元整</v>
      </c>
      <c r="I119" s="3097"/>
    </row>
    <row r="120" spans="1:11" ht="18.75" customHeight="1">
      <c r="A120" s="3091" t="str">
        <f>IF(项目基本情况!B9="房地产市场价值","",MID(E103,3,LEN(E103)-2))</f>
        <v/>
      </c>
      <c r="B120" s="3092"/>
      <c r="C120" s="3093"/>
      <c r="D120" s="3091">
        <f>H103</f>
        <v>0</v>
      </c>
      <c r="E120" s="3092"/>
      <c r="F120" s="3092"/>
      <c r="G120" s="3092"/>
      <c r="H120" s="3092"/>
      <c r="I120" s="3093"/>
      <c r="K120" s="2423" t="str">
        <f>IF(D120=0,"故，本次评估不存在"&amp;A120,"故，本次评估"&amp;A120&amp;"为人民币"&amp;D120&amp;"万元整。")</f>
        <v>故，本次评估不存在</v>
      </c>
    </row>
    <row r="121" spans="1:11" ht="18.75" customHeight="1">
      <c r="A121" s="3137" t="s">
        <v>2317</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f ca="1">H107</f>
        <v>339</v>
      </c>
      <c r="E122" s="3092"/>
      <c r="F122" s="3092"/>
      <c r="G122" s="3092"/>
      <c r="H122" s="3092"/>
      <c r="I122" s="3093"/>
    </row>
    <row r="123" spans="1:11" ht="18.75" customHeight="1">
      <c r="A123" s="3051" t="s">
        <v>2317</v>
      </c>
      <c r="B123" s="3051"/>
      <c r="C123" s="3051"/>
      <c r="D123" s="3096" t="str">
        <f ca="1">NUMBERSTRING(INT(D122*10000),2)&amp;"元整"</f>
        <v>叁佰叁拾玖万元整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2317</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2317</v>
      </c>
      <c r="B127" s="3051"/>
      <c r="C127" s="3051"/>
      <c r="D127" s="3096" t="e">
        <f>NUMBERSTRING(INT(D126*10000),2)&amp;"元整"</f>
        <v>#VALUE!</v>
      </c>
      <c r="E127" s="3098"/>
      <c r="F127" s="3098"/>
      <c r="G127" s="3098"/>
      <c r="H127" s="3098"/>
      <c r="I127" s="3097"/>
    </row>
    <row r="128" spans="1:11" ht="21.75" customHeight="1">
      <c r="A128" s="3099" t="s">
        <v>2318</v>
      </c>
      <c r="B128" s="3099"/>
      <c r="C128" s="3099"/>
      <c r="D128" s="3099"/>
      <c r="E128" s="3099"/>
      <c r="F128" s="3099"/>
      <c r="G128" s="3099"/>
      <c r="H128" s="3099"/>
      <c r="I128" s="3099"/>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2321</v>
      </c>
      <c r="G135" s="2544"/>
      <c r="H135" s="2544"/>
      <c r="I135" s="2545" t="s">
        <v>2322</v>
      </c>
    </row>
    <row r="136" spans="1:35" ht="21.75" customHeight="1">
      <c r="A136" s="793"/>
      <c r="B136" s="254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2324</v>
      </c>
    </row>
    <row r="139" spans="1:35" ht="21.75" customHeight="1">
      <c r="A139" s="793"/>
      <c r="B139" s="2546" t="s">
        <v>2325</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2324</v>
      </c>
    </row>
    <row r="142" spans="1:35" ht="21.75" customHeight="1">
      <c r="A142" s="793"/>
      <c r="B142" s="2546"/>
      <c r="C142" s="2547"/>
      <c r="D142" s="2548"/>
      <c r="E142" s="2548"/>
      <c r="F142" s="2340"/>
      <c r="G142" s="793"/>
      <c r="H142" s="793"/>
      <c r="I142" s="793"/>
    </row>
    <row r="143" spans="1:35" s="138"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5" t="s">
        <v>2428</v>
      </c>
      <c r="D1" s="241"/>
      <c r="E1" s="241"/>
      <c r="F1" s="241"/>
      <c r="G1" s="1377">
        <f>MATCH(B1,'数据-取费表'!A6:A16,0)+5</f>
        <v>8</v>
      </c>
      <c r="H1" s="1280" t="str">
        <f>IF(ISERROR(FIND("住宅",B1)),"非住宅","住宅")</f>
        <v>非住宅</v>
      </c>
    </row>
    <row r="2" spans="1:8" s="243" customFormat="1" ht="18" customHeight="1">
      <c r="A2" s="244" t="s">
        <v>2327</v>
      </c>
      <c r="B2" s="245">
        <f ca="1">ROUND(IF(D2="——",C52/10000,C52/10000-E2),0)</f>
        <v>263</v>
      </c>
      <c r="C2" s="242" t="s">
        <v>2328</v>
      </c>
      <c r="D2" s="2549" t="s">
        <v>70</v>
      </c>
      <c r="E2" s="1438" t="e">
        <f ca="1">SUMIF(INDIRECT("'"&amp;G2&amp;"'"&amp;"!A:A"),"承租人权益价值",INDIRECT("'"&amp;G2&amp;"'"&amp;"!c:c"))</f>
        <v>#REF!</v>
      </c>
      <c r="F2" s="2550" t="s">
        <v>2328</v>
      </c>
      <c r="G2" s="2551"/>
    </row>
    <row r="3" spans="1:8" s="243" customFormat="1" ht="18" customHeight="1" thickBot="1">
      <c r="A3" s="246" t="s">
        <v>2329</v>
      </c>
      <c r="B3" s="247">
        <f ca="1">ROUND(B2*10000/(IF(B1="",'数据-汇总表'!E3,INDIRECT("'数据-取费表'!k"&amp;$G$1))),0)</f>
        <v>1187</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287971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IF(项目基本情况!B8="出让",0,'数据-取费表'!B48+'数据-取费表'!B49)</f>
        <v>3.0499999999999999E-2</v>
      </c>
      <c r="G7" s="262"/>
    </row>
    <row r="8" spans="1:8" s="266" customFormat="1">
      <c r="A8" s="947" t="s">
        <v>2341</v>
      </c>
      <c r="B8" s="258" t="s">
        <v>2342</v>
      </c>
      <c r="C8" s="263">
        <f ca="1">IF(G8="已包含在土地购买价格中",0,C9+C10)</f>
        <v>287971</v>
      </c>
      <c r="D8" s="265"/>
      <c r="E8" s="263"/>
      <c r="F8" s="264"/>
      <c r="G8" s="2552"/>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287971</v>
      </c>
      <c r="D10" s="1030">
        <f ca="1">IF(B1="",'数据-汇总表'!E6,IF(INDIRECT("'数据-取费表'!c"&amp;$G$1)="住宅",INDIRECT("'数据-取费表'!s"&amp;$G$1),INDIRECT("'数据-取费表'!k"&amp;$G$1)+INDIRECT("'数据-取费表'!s"&amp;$G$1)))</f>
        <v>2215.16</v>
      </c>
      <c r="E10" s="268">
        <f>'数据-取费表'!B28</f>
        <v>130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443032</v>
      </c>
      <c r="D19" s="1034">
        <f ca="1">D9+D10</f>
        <v>2215.16</v>
      </c>
      <c r="E19" s="254">
        <f>'数据-取费表'!B31</f>
        <v>200</v>
      </c>
      <c r="F19" s="274"/>
      <c r="G19" s="2552"/>
    </row>
    <row r="20" spans="1:7" s="257" customFormat="1" ht="13.5" customHeight="1">
      <c r="A20" s="298" t="s">
        <v>2439</v>
      </c>
      <c r="B20" s="253" t="s">
        <v>2440</v>
      </c>
      <c r="C20" s="275">
        <f ca="1">ROUND((C5+C19)*F20,0)</f>
        <v>14620</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110248</v>
      </c>
      <c r="D22" s="278">
        <f ca="1">C26</f>
        <v>1.4E-3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43016</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66178</v>
      </c>
      <c r="D24" s="281"/>
      <c r="E24" s="281"/>
      <c r="F24" s="282"/>
      <c r="G24" s="283" t="s">
        <v>2451</v>
      </c>
    </row>
    <row r="25" spans="1:7" s="257" customFormat="1" ht="24">
      <c r="A25" s="949" t="s">
        <v>2341</v>
      </c>
      <c r="B25" s="258" t="s">
        <v>2452</v>
      </c>
      <c r="C25" s="1379">
        <f ca="1">ROUND(IF('数据-取费表'!B22&lt;=1,C20*F22*'数据-取费表'!B22/2,C20*(POWER((1+F22),'数据-取费表'!B22/2)-1)),0)</f>
        <v>1054</v>
      </c>
      <c r="D25" s="281"/>
      <c r="E25" s="284"/>
      <c r="F25" s="282"/>
      <c r="G25" s="285" t="s">
        <v>2453</v>
      </c>
    </row>
    <row r="26" spans="1:7" s="257" customFormat="1">
      <c r="A26" s="949" t="s">
        <v>795</v>
      </c>
      <c r="B26" s="258" t="s">
        <v>2376</v>
      </c>
      <c r="C26" s="281">
        <f ca="1">ROUND(IF('数据-取费表'!B22&lt;=1,F21*F22*'数据-取费表'!B22/2,F21*(POWER((1+F22),'数据-取费表'!B22/2)-1)),4)</f>
        <v>1.4E-3</v>
      </c>
      <c r="D26" s="281"/>
      <c r="E26" s="284"/>
      <c r="F26" s="282"/>
      <c r="G26" s="286"/>
    </row>
    <row r="27" spans="1:7" s="257" customFormat="1" ht="24.75">
      <c r="A27" s="298" t="s">
        <v>2377</v>
      </c>
      <c r="B27" s="287" t="s">
        <v>2378</v>
      </c>
      <c r="C27" s="288">
        <f ca="1">C28</f>
        <v>111843</v>
      </c>
      <c r="D27" s="278">
        <f ca="1">C29</f>
        <v>3.0000000000000001E-3</v>
      </c>
      <c r="E27" s="279" t="s">
        <v>2379</v>
      </c>
      <c r="F27" s="289">
        <f ca="1">IF(B1="",'数据-取费表'!Q16,INDIRECT("'数据-取费表'!q"&amp;$G$1))</f>
        <v>0.15</v>
      </c>
      <c r="G27" s="290" t="s">
        <v>2380</v>
      </c>
    </row>
    <row r="28" spans="1:7" s="257" customFormat="1" ht="13.5" customHeight="1">
      <c r="A28" s="949" t="s">
        <v>791</v>
      </c>
      <c r="B28" s="291" t="s">
        <v>2381</v>
      </c>
      <c r="C28" s="292">
        <f ca="1">ROUND((C5+C19+C20)*F27,0)</f>
        <v>111843</v>
      </c>
      <c r="D28" s="278"/>
      <c r="E28" s="279"/>
      <c r="F28" s="289"/>
      <c r="G28" s="290"/>
    </row>
    <row r="29" spans="1:7" s="257" customFormat="1" ht="13.5" customHeight="1">
      <c r="A29" s="949" t="s">
        <v>792</v>
      </c>
      <c r="B29" s="291" t="s">
        <v>2382</v>
      </c>
      <c r="C29" s="281">
        <f ca="1">ROUND(C21*F27,4)</f>
        <v>3.0000000000000001E-3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1049240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1326658</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829696</v>
      </c>
      <c r="D34" s="260"/>
      <c r="E34" s="263"/>
      <c r="F34" s="300"/>
      <c r="G34" s="262"/>
    </row>
    <row r="35" spans="1:7" ht="13.5" customHeight="1">
      <c r="A35" s="949" t="s">
        <v>796</v>
      </c>
      <c r="B35" s="258" t="s">
        <v>2392</v>
      </c>
      <c r="C35" s="263">
        <f ca="1">ROUND(C34*F35,0)</f>
        <v>41485</v>
      </c>
      <c r="D35" s="263"/>
      <c r="E35" s="263"/>
      <c r="F35" s="302">
        <f>'数据-取费表'!B33</f>
        <v>0.05</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443032</v>
      </c>
      <c r="D37" s="260">
        <f ca="1">D19</f>
        <v>2215.16</v>
      </c>
      <c r="E37" s="292">
        <f>'数据-取费表'!B35</f>
        <v>200</v>
      </c>
      <c r="F37" s="302"/>
      <c r="G37" s="304"/>
    </row>
    <row r="38" spans="1:7" ht="13.5" customHeight="1">
      <c r="A38" s="949" t="s">
        <v>799</v>
      </c>
      <c r="B38" s="258" t="s">
        <v>2398</v>
      </c>
      <c r="C38" s="263">
        <f ca="1">ROUND(C34*F38,0)</f>
        <v>12445</v>
      </c>
      <c r="D38" s="263"/>
      <c r="E38" s="263"/>
      <c r="F38" s="302">
        <f>'数据-取费表'!B36</f>
        <v>1.4999999999999999E-2</v>
      </c>
      <c r="G38" s="262" t="s">
        <v>2393</v>
      </c>
    </row>
    <row r="39" spans="1:7" s="257" customFormat="1" ht="13.5" customHeight="1">
      <c r="A39" s="298" t="s">
        <v>2399</v>
      </c>
      <c r="B39" s="253" t="s">
        <v>2400</v>
      </c>
      <c r="C39" s="275">
        <f ca="1">ROUND(C33*F20,0)</f>
        <v>26533</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97551</v>
      </c>
      <c r="D41" s="278">
        <f ca="1">C44</f>
        <v>1.4E-3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95638</v>
      </c>
      <c r="D42" s="281"/>
      <c r="E42" s="281"/>
      <c r="F42" s="282"/>
      <c r="G42" s="3171" t="s">
        <v>2456</v>
      </c>
    </row>
    <row r="43" spans="1:7" ht="13.5" customHeight="1">
      <c r="A43" s="949" t="s">
        <v>792</v>
      </c>
      <c r="B43" s="258" t="s">
        <v>2410</v>
      </c>
      <c r="C43" s="281">
        <f ca="1">ROUND(IF('数据-取费表'!B22&lt;=1,C39*F22*'数据-取费表'!B20/2,C39*(POWER((1+F22),'数据-取费表'!B20/2)-1)),0)</f>
        <v>1913</v>
      </c>
      <c r="D43" s="281"/>
      <c r="E43" s="281"/>
      <c r="F43" s="282"/>
      <c r="G43" s="3172"/>
    </row>
    <row r="44" spans="1:7" ht="13.5" customHeight="1">
      <c r="A44" s="949" t="s">
        <v>793</v>
      </c>
      <c r="B44" s="258" t="s">
        <v>2411</v>
      </c>
      <c r="C44" s="281">
        <f ca="1">ROUND(IF('数据-取费表'!B22&lt;=1,C40*F22*'数据-取费表'!B20/2,C40*(POWER((1+F22),'数据-取费表'!B20/2)-1)),4)</f>
        <v>1.4E-3</v>
      </c>
      <c r="D44" s="281"/>
      <c r="E44" s="281"/>
      <c r="F44" s="282"/>
      <c r="G44" s="3173"/>
    </row>
    <row r="45" spans="1:7" s="257" customFormat="1" ht="13.5" customHeight="1">
      <c r="A45" s="298" t="s">
        <v>2412</v>
      </c>
      <c r="B45" s="287" t="s">
        <v>2378</v>
      </c>
      <c r="C45" s="288">
        <f ca="1">C46</f>
        <v>202979</v>
      </c>
      <c r="D45" s="278">
        <f ca="1">C47</f>
        <v>3.0000000000000001E-3</v>
      </c>
      <c r="E45" s="279" t="s">
        <v>2404</v>
      </c>
      <c r="F45" s="289"/>
      <c r="G45" s="290" t="s">
        <v>2413</v>
      </c>
    </row>
    <row r="46" spans="1:7" s="257" customFormat="1" ht="13.5" customHeight="1">
      <c r="A46" s="949" t="s">
        <v>791</v>
      </c>
      <c r="B46" s="291" t="s">
        <v>2414</v>
      </c>
      <c r="C46" s="292">
        <f ca="1">ROUND((C33+C39)*F27,0)</f>
        <v>202979</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1793040</v>
      </c>
      <c r="D49" s="275"/>
      <c r="E49" s="275"/>
      <c r="F49" s="307"/>
      <c r="G49" s="277" t="s">
        <v>2419</v>
      </c>
    </row>
    <row r="50" spans="1:7" s="301" customFormat="1">
      <c r="A50" s="298" t="s">
        <v>2420</v>
      </c>
      <c r="B50" s="253" t="s">
        <v>2421</v>
      </c>
      <c r="C50" s="275"/>
      <c r="D50" s="275"/>
      <c r="E50" s="275"/>
      <c r="F50" s="307">
        <f>IF('数据-取费表'!B24=0,'数据-取费表'!N16,1)</f>
        <v>0.88</v>
      </c>
      <c r="G50" s="290"/>
    </row>
    <row r="51" spans="1:7" ht="16.5" customHeight="1">
      <c r="A51" s="298" t="s">
        <v>2423</v>
      </c>
      <c r="B51" s="253" t="s">
        <v>2458</v>
      </c>
      <c r="C51" s="275">
        <f ca="1">ROUND(C49*F50,0)</f>
        <v>1577875</v>
      </c>
      <c r="D51" s="275"/>
      <c r="E51" s="275"/>
      <c r="F51" s="307"/>
      <c r="G51" s="277" t="s">
        <v>2425</v>
      </c>
    </row>
    <row r="52" spans="1:7" s="251" customFormat="1" ht="16.5" thickBot="1">
      <c r="A52" s="308" t="s">
        <v>2426</v>
      </c>
      <c r="B52" s="309"/>
      <c r="C52" s="310">
        <f ca="1">C31+C51</f>
        <v>2627115</v>
      </c>
      <c r="D52" s="309"/>
      <c r="E52" s="309"/>
      <c r="F52" s="309"/>
      <c r="G52" s="311"/>
    </row>
    <row r="55" spans="1:7" ht="15">
      <c r="B55" s="313" t="s">
        <v>2427</v>
      </c>
      <c r="C55" s="314"/>
    </row>
    <row r="56" spans="1:7">
      <c r="B56" s="316" t="s">
        <v>1508</v>
      </c>
      <c r="C56" s="318">
        <f ca="1">1-C57</f>
        <v>0.39900000000000002</v>
      </c>
    </row>
    <row r="57" spans="1:7">
      <c r="B57" s="316" t="s">
        <v>1509</v>
      </c>
      <c r="C57" s="317">
        <f ca="1">ROUND(C51/C52,3)</f>
        <v>0.60099999999999998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8</v>
      </c>
    </row>
    <row r="2" spans="1:33" ht="18" customHeight="1">
      <c r="A2" s="244" t="s">
        <v>2327</v>
      </c>
      <c r="B2" s="247">
        <f ca="1">C32</f>
        <v>-34</v>
      </c>
      <c r="C2" s="319" t="s">
        <v>2460</v>
      </c>
      <c r="D2" s="319"/>
      <c r="E2" s="319"/>
      <c r="F2" s="319"/>
      <c r="G2" s="319"/>
      <c r="H2" s="319"/>
      <c r="I2" s="319"/>
      <c r="J2" s="319"/>
      <c r="K2" s="319"/>
    </row>
    <row r="3" spans="1:33" ht="18" customHeight="1" thickBot="1">
      <c r="A3" s="246" t="s">
        <v>2329</v>
      </c>
      <c r="B3" s="247">
        <f ca="1">ROUND(B2*10000/IF(C1="",'数据-汇总表'!E3,INDIRECT("'数据-取费表'!K"&amp;$K$1)),0)</f>
        <v>-153</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6" t="s">
        <v>2465</v>
      </c>
      <c r="D5" s="2556" t="s">
        <v>2466</v>
      </c>
      <c r="E5" s="2556" t="s">
        <v>2467</v>
      </c>
      <c r="F5" s="2556"/>
      <c r="G5" s="2556"/>
      <c r="H5" s="2556"/>
      <c r="I5" s="2556"/>
      <c r="J5" s="2556"/>
      <c r="K5" s="255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7"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1330</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2481</v>
      </c>
      <c r="C12" s="23">
        <f ca="1">ROUND(C11*F12,0)</f>
        <v>0</v>
      </c>
      <c r="D12" s="971"/>
      <c r="E12" s="374"/>
      <c r="F12" s="974">
        <f>'数据-取费表'!B33</f>
        <v>0.05</v>
      </c>
      <c r="G12" s="8" t="s">
        <v>2482</v>
      </c>
      <c r="H12" s="966"/>
      <c r="I12" s="966"/>
      <c r="J12" s="966"/>
      <c r="K12" s="967"/>
    </row>
    <row r="13" spans="1:33" s="973" customFormat="1" ht="13.5" customHeight="1">
      <c r="A13" s="969" t="s">
        <v>1332</v>
      </c>
      <c r="B13" s="970" t="s">
        <v>2483</v>
      </c>
      <c r="C13" s="23">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1333</v>
      </c>
      <c r="B14" s="970" t="s">
        <v>2485</v>
      </c>
      <c r="C14" s="23">
        <f ca="1">ROUND(D14*E14*F11/10000,0)</f>
        <v>0</v>
      </c>
      <c r="D14" s="1031">
        <f ca="1">IF(C1="",'数据-汇总表'!E3,INDIRECT("'数据-取费表'!K"&amp;$K$1)+INDIRECT("'数据-取费表'!S"&amp;$K$1))</f>
        <v>2215.16</v>
      </c>
      <c r="E14" s="23">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3">
        <f ca="1">ROUND(D17*E17/10000,0)</f>
        <v>0</v>
      </c>
      <c r="D17" s="1031">
        <f ca="1">D14</f>
        <v>2215.16</v>
      </c>
      <c r="E17" s="23">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2492</v>
      </c>
      <c r="C18" s="23">
        <f ca="1">C19+C20-IF(C1="",'数据-取费表'!B29,IF(G18="已全部缴纳",C19+C20,H18))</f>
        <v>29</v>
      </c>
      <c r="D18" s="1031"/>
      <c r="E18" s="23"/>
      <c r="F18" s="974"/>
      <c r="G18" s="2558"/>
      <c r="H18" s="1575"/>
      <c r="I18" s="2559" t="s">
        <v>2493</v>
      </c>
      <c r="J18" s="977"/>
      <c r="K18" s="978"/>
    </row>
    <row r="19" spans="1:33" s="973" customFormat="1" ht="13.5" customHeight="1">
      <c r="A19" s="969" t="s">
        <v>805</v>
      </c>
      <c r="B19" s="970" t="s">
        <v>2494</v>
      </c>
      <c r="C19" s="23">
        <f ca="1">ROUND(D19*E19/10000,0)</f>
        <v>0</v>
      </c>
      <c r="D19" s="1031">
        <f ca="1">IF(C1="",'数据-汇总表'!E5,IF(INDIRECT("'数据-取费表'!c"&amp;$K$1)="住宅",INDIRECT("'数据-取费表'!k"&amp;$K$1),0))</f>
        <v>0</v>
      </c>
      <c r="E19" s="23">
        <f>'数据-取费表'!B27</f>
        <v>0</v>
      </c>
      <c r="F19" s="974"/>
      <c r="G19" s="14"/>
      <c r="H19" s="1577"/>
      <c r="I19" s="979"/>
      <c r="J19" s="979"/>
      <c r="K19" s="980"/>
    </row>
    <row r="20" spans="1:33" s="973" customFormat="1" ht="13.5" customHeight="1">
      <c r="A20" s="969" t="s">
        <v>806</v>
      </c>
      <c r="B20" s="970" t="s">
        <v>2495</v>
      </c>
      <c r="C20" s="23">
        <f ca="1">ROUND(D20*E20/10000,0)</f>
        <v>29</v>
      </c>
      <c r="D20" s="1031">
        <f ca="1">IF(C1="",'数据-汇总表'!E6,IF(INDIRECT("'数据-取费表'!c"&amp;$K$1)="住宅",INDIRECT("'数据-取费表'!s"&amp;$K$1),INDIRECT("'数据-取费表'!k"&amp;$K$1)+INDIRECT("'数据-取费表'!s"&amp;$K$1)))</f>
        <v>2215.16</v>
      </c>
      <c r="E20" s="23">
        <f>'数据-取费表'!B28</f>
        <v>130</v>
      </c>
      <c r="F20" s="974"/>
      <c r="G20" s="14"/>
      <c r="H20" s="979"/>
      <c r="I20" s="979"/>
      <c r="J20" s="979"/>
      <c r="K20" s="980"/>
    </row>
    <row r="21" spans="1:33" s="973" customFormat="1" ht="13.5" customHeight="1">
      <c r="A21" s="959" t="s">
        <v>802</v>
      </c>
      <c r="B21" s="983" t="s">
        <v>2496</v>
      </c>
      <c r="C21" s="984">
        <f ca="1">C16+C17+C18</f>
        <v>29</v>
      </c>
      <c r="D21" s="985"/>
      <c r="E21" s="324"/>
      <c r="F21" s="324"/>
      <c r="G21" s="139" t="s">
        <v>2497</v>
      </c>
      <c r="H21" s="977"/>
      <c r="I21" s="977"/>
      <c r="J21" s="977"/>
      <c r="K21" s="978"/>
    </row>
    <row r="22" spans="1:33" s="973" customFormat="1" ht="13.5" customHeight="1">
      <c r="A22" s="959" t="s">
        <v>2469</v>
      </c>
      <c r="B22" s="983" t="s">
        <v>2498</v>
      </c>
      <c r="C22" s="984">
        <f ca="1">ROUND(C21*F22,0)</f>
        <v>1</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IF(项目基本情况!B8="出让",0,'数据-取费表'!B48+'数据-取费表'!B49)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7"/>
      <c r="I27" s="977"/>
      <c r="J27" s="977"/>
      <c r="K27" s="978"/>
    </row>
    <row r="28" spans="1:33" s="332" customFormat="1" ht="13.5" customHeight="1">
      <c r="A28" s="959" t="s">
        <v>2509</v>
      </c>
      <c r="B28" s="2561" t="s">
        <v>2510</v>
      </c>
      <c r="C28" s="330">
        <f ca="1">C30</f>
        <v>5</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5</v>
      </c>
      <c r="D30" s="327"/>
      <c r="E30" s="328"/>
      <c r="F30" s="333"/>
      <c r="G30" s="139"/>
      <c r="H30" s="977"/>
      <c r="I30" s="977"/>
      <c r="J30" s="977"/>
      <c r="K30" s="978"/>
    </row>
    <row r="31" spans="1:33" s="973" customFormat="1" ht="13.5" customHeight="1" thickBot="1">
      <c r="A31" s="2562"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-34</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c r="D1" s="1818"/>
      <c r="E1" s="1819" t="s">
        <v>1382</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2"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0</v>
      </c>
      <c r="D5" s="1820" t="s">
        <v>1397</v>
      </c>
      <c r="E5" s="1291"/>
      <c r="F5" s="1292"/>
      <c r="G5" s="1849"/>
      <c r="H5" s="343">
        <v>1</v>
      </c>
      <c r="I5" s="344" t="s">
        <v>1396</v>
      </c>
      <c r="J5" s="1290">
        <f ca="1">J6+J10+J12</f>
        <v>0</v>
      </c>
      <c r="K5" s="1820" t="s">
        <v>1397</v>
      </c>
      <c r="L5" s="1291"/>
      <c r="M5" s="1292"/>
    </row>
    <row r="6" spans="1:37" ht="18" customHeight="1">
      <c r="A6" s="1289" t="s">
        <v>1032</v>
      </c>
      <c r="B6" s="3176" t="s">
        <v>1398</v>
      </c>
      <c r="C6" s="1294">
        <f ca="1">ROUND(F6*F8*F7*(1-F9)/10000,0)</f>
        <v>0</v>
      </c>
      <c r="D6" s="163" t="s">
        <v>3029</v>
      </c>
      <c r="E6" s="346" t="s">
        <v>1400</v>
      </c>
      <c r="F6" s="347">
        <f ca="1">INDIRECT("'数据-取费表'!u"&amp;$G$1)</f>
        <v>0</v>
      </c>
      <c r="G6" s="1849"/>
      <c r="H6" s="1289" t="s">
        <v>1032</v>
      </c>
      <c r="I6" s="3176" t="s">
        <v>1398</v>
      </c>
      <c r="J6" s="345">
        <f ca="1">ROUND(M6*M8*M7*(1-M9)/10000,0)</f>
        <v>0</v>
      </c>
      <c r="K6" s="163" t="s">
        <v>3028</v>
      </c>
      <c r="L6" s="346" t="s">
        <v>1400</v>
      </c>
      <c r="M6" s="347">
        <f ca="1">INDIRECT("'数据-取费表'!z"&amp;$G$1)</f>
        <v>0</v>
      </c>
    </row>
    <row r="7" spans="1:37" ht="18" customHeight="1">
      <c r="A7" s="1293"/>
      <c r="B7" s="3177"/>
      <c r="C7" s="1295"/>
      <c r="D7" s="351"/>
      <c r="E7" s="1296" t="s">
        <v>1401</v>
      </c>
      <c r="F7" s="347">
        <f ca="1">IF(INDIRECT("'数据-取费表'!ah"&amp;$G$1)="",INDIRECT("'数据-取费表'!k"&amp;$G$1),INDIRECT("'数据-取费表'!ah"&amp;$G$1))</f>
        <v>0</v>
      </c>
      <c r="G7" s="1849"/>
      <c r="H7" s="348"/>
      <c r="I7" s="3177"/>
      <c r="J7" s="350"/>
      <c r="K7" s="351"/>
      <c r="L7" s="346" t="s">
        <v>1401</v>
      </c>
      <c r="M7" s="347">
        <f ca="1">F7</f>
        <v>0</v>
      </c>
    </row>
    <row r="8" spans="1:37" ht="18" customHeight="1">
      <c r="A8" s="348"/>
      <c r="B8" s="3177"/>
      <c r="C8" s="350"/>
      <c r="D8" s="351"/>
      <c r="E8" s="346" t="s">
        <v>1402</v>
      </c>
      <c r="F8" s="347">
        <f ca="1">INDIRECT("'数据-取费表'!ai"&amp;$G$1)</f>
        <v>0</v>
      </c>
      <c r="G8" s="1849"/>
      <c r="H8" s="348"/>
      <c r="I8" s="3177"/>
      <c r="J8" s="350"/>
      <c r="K8" s="351"/>
      <c r="L8" s="346" t="s">
        <v>1402</v>
      </c>
      <c r="M8" s="347">
        <f ca="1">INDIRECT("'数据-取费表'!ai"&amp;$G$1)</f>
        <v>0</v>
      </c>
    </row>
    <row r="9" spans="1:37" ht="18" customHeight="1">
      <c r="A9" s="348"/>
      <c r="B9" s="3178"/>
      <c r="C9" s="350"/>
      <c r="D9" s="351"/>
      <c r="E9" s="346" t="s">
        <v>1403</v>
      </c>
      <c r="F9" s="356">
        <f ca="1">INDIRECT("'数据-取费表'!w"&amp;$G$1)</f>
        <v>0</v>
      </c>
      <c r="G9" s="1849"/>
      <c r="H9" s="348"/>
      <c r="I9" s="3178"/>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3038</v>
      </c>
      <c r="E10" s="357" t="s">
        <v>1405</v>
      </c>
      <c r="F10" s="1364"/>
      <c r="G10" s="1849"/>
      <c r="H10" s="1289" t="s">
        <v>1036</v>
      </c>
      <c r="I10" s="1821" t="s">
        <v>1404</v>
      </c>
      <c r="J10" s="345">
        <f ca="1">ROUND(IF(M10="押一",J6/12*M11,IF(M10="押二",J6/12*2*M11,IF(M10="押三",J6/12*3*M11,J11*M11))),0)</f>
        <v>0</v>
      </c>
      <c r="K10" s="1822" t="s">
        <v>3037</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ROUND(F17*(F43+INDIRECT("'数据-取费表'!S"&amp;$G$1))/10000,0)</f>
        <v>0</v>
      </c>
      <c r="D17" s="346" t="s">
        <v>1422</v>
      </c>
      <c r="E17" s="346" t="s">
        <v>1423</v>
      </c>
      <c r="F17" s="25">
        <f>'数据-取费表'!B35</f>
        <v>200</v>
      </c>
      <c r="G17" s="1852"/>
      <c r="H17" s="1199" t="s">
        <v>1032</v>
      </c>
      <c r="I17" s="346" t="s">
        <v>1424</v>
      </c>
      <c r="J17" s="23">
        <f ca="1">ROUND(IF(项目基本情况!B11="自然人",J5*M17,J18+J19+J20),1)</f>
        <v>0</v>
      </c>
      <c r="K17" s="1798" t="s">
        <v>1425</v>
      </c>
      <c r="L17" s="1796" t="s">
        <v>1426</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ROUND(J5*M18/(1+'数据-取费表'!C42),2)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IF(K19="按租金收入计税",ROUND(J5*M19,2),ROUND(C29*M19*0.7,2))</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ROUND(M20*M21/10000,2)</f>
        <v>0</v>
      </c>
      <c r="K20" s="369" t="s">
        <v>1437</v>
      </c>
      <c r="L20" s="346" t="s">
        <v>1438</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ROUND(IF(项目基本情况!B11="自然人",C5*F31,C32+C33+C34),1)</f>
        <v>0</v>
      </c>
      <c r="D31" s="1798" t="s">
        <v>1425</v>
      </c>
      <c r="E31" s="1796" t="s">
        <v>1476</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1428</v>
      </c>
      <c r="C32" s="23" t="str">
        <f>IF(项目基本情况!B11="自然人","——",ROUND(C5*F32/(1+'数据-取费表'!C42),2))</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IF(项目基本情况!B11="自然人","——",IF(D33="按租金收入计税",ROUND(C5*F33,2),IF(D33="按房产原值计税",ROUND(C29*F33*0.7,2),INDIRECT("'数据-取费表'!Aj"&amp;$G$1))))</f>
        <v>——</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t="str">
        <f>IF(项目基本情况!B11="自然人","——",ROUND(F34*F35/10000,2))</f>
        <v>——</v>
      </c>
      <c r="D34" s="369" t="s">
        <v>1437</v>
      </c>
      <c r="E34" s="346" t="s">
        <v>1438</v>
      </c>
      <c r="F34" s="370">
        <f>'数据-取费表'!B52</f>
        <v>12</v>
      </c>
      <c r="G34" s="1849"/>
      <c r="H34" s="743"/>
      <c r="I34" s="1858"/>
      <c r="J34" s="1859"/>
      <c r="K34" s="1861"/>
      <c r="L34" s="1862"/>
      <c r="M34" s="1862"/>
    </row>
    <row r="35" spans="1:18" ht="18" customHeight="1">
      <c r="A35" s="1351"/>
      <c r="B35" s="1349"/>
      <c r="C35" s="28"/>
      <c r="D35" s="372"/>
      <c r="E35" s="346" t="s">
        <v>1442</v>
      </c>
      <c r="F35" s="347">
        <f ca="1">INDIRECT("'数据-取费表'!r"&amp;$G$1)</f>
        <v>0</v>
      </c>
      <c r="G35" s="1849"/>
      <c r="H35" s="743"/>
      <c r="I35" s="1858"/>
      <c r="J35" s="1859"/>
      <c r="K35" s="1860"/>
      <c r="L35" s="1857"/>
      <c r="M35" s="1857"/>
    </row>
    <row r="36" spans="1:18" ht="18" customHeight="1">
      <c r="A36" s="1350" t="s">
        <v>1036</v>
      </c>
      <c r="B36" s="346" t="s">
        <v>1444</v>
      </c>
      <c r="C36" s="23">
        <f ca="1">ROUND(C29*F36,1)</f>
        <v>0</v>
      </c>
      <c r="D36" s="1796" t="s">
        <v>1477</v>
      </c>
      <c r="E36" s="346" t="s">
        <v>1417</v>
      </c>
      <c r="F36" s="373">
        <f ca="1">INDIRECT("'数据-取费表'!Ak"&amp;$G$1)</f>
        <v>0</v>
      </c>
      <c r="G36" s="1849"/>
      <c r="H36" s="1857"/>
      <c r="I36" s="1858"/>
      <c r="J36" s="1859"/>
      <c r="K36" s="749"/>
      <c r="L36" s="1857"/>
      <c r="M36" s="1857"/>
    </row>
    <row r="37" spans="1:18" ht="18" customHeight="1">
      <c r="A37" s="1199" t="s">
        <v>1072</v>
      </c>
      <c r="B37" s="346" t="s">
        <v>1448</v>
      </c>
      <c r="C37" s="23">
        <f ca="1">ROUND(C13*F37,1)</f>
        <v>0</v>
      </c>
      <c r="D37" s="1796" t="s">
        <v>1449</v>
      </c>
      <c r="E37" s="346" t="s">
        <v>1450</v>
      </c>
      <c r="F37" s="375">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1472</v>
      </c>
      <c r="F42" s="356">
        <f ca="1">INDIRECT("'数据-取费表'!v"&amp;$G$1)</f>
        <v>0</v>
      </c>
      <c r="G42" s="1849"/>
      <c r="H42" s="730"/>
      <c r="I42" s="1858"/>
      <c r="J42" s="1859"/>
      <c r="K42" s="749"/>
      <c r="L42" s="730"/>
      <c r="M42" s="730"/>
    </row>
    <row r="43" spans="1:18" ht="18" customHeight="1" thickBot="1">
      <c r="A43" s="379" t="s">
        <v>1030</v>
      </c>
      <c r="B43" s="380" t="s">
        <v>1482</v>
      </c>
      <c r="C43" s="381" t="e">
        <f ca="1">ROUND(C40*10000/F43,0)</f>
        <v>#DIV/0!</v>
      </c>
      <c r="D43" s="382" t="s">
        <v>1483</v>
      </c>
      <c r="E43" s="383" t="s">
        <v>1484</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ROUND(F49*F51*F50*(1-F52)/10000,0)</f>
        <v>0</v>
      </c>
      <c r="D49" s="1274" t="s">
        <v>3030</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t="b">
        <f>J53</f>
        <v>0</v>
      </c>
      <c r="R52" s="1884" t="s">
        <v>1541</v>
      </c>
    </row>
    <row r="53" spans="1:18" s="1840" customFormat="1" ht="24.75" thickBot="1">
      <c r="A53" s="1403" t="s">
        <v>1134</v>
      </c>
      <c r="B53" s="1829" t="s">
        <v>1404</v>
      </c>
      <c r="C53" s="360">
        <f ca="1">ROUND(IF(F53="押一",C49/12*F11,IF(F53="押二",C49/12*2*F11,IF(F53="押三",C49/12*3*F11,C54*F11))),0)</f>
        <v>0</v>
      </c>
      <c r="D53" s="1822" t="s">
        <v>3037</v>
      </c>
      <c r="E53" s="357" t="s">
        <v>1405</v>
      </c>
      <c r="F53" s="1364"/>
      <c r="I53" s="1903" t="s">
        <v>1542</v>
      </c>
      <c r="J53" s="1904" t="b">
        <f>IF(M47="住宅",IF(D1="——",MAX(J51,L48),IF(D1="在建（套用方法）",MAX(J51,L48-'数据-取费表'!B24),MAX(J51,L48-'数据-取费表'!B20))),IF(D1="——",MIN(J51,L48),IF(D1="在建（套用方法）",MIN(J51,L48-'数据-取费表'!B24),IF(D1="土地（套用方法）",MIN(J51,L48-'数据-取费表'!B20)))))</f>
        <v>0</v>
      </c>
      <c r="K53" s="3174" t="s">
        <v>1543</v>
      </c>
      <c r="L53" s="3175"/>
      <c r="O53" s="1882" t="s">
        <v>1043</v>
      </c>
      <c r="P53" s="1883" t="s">
        <v>1544</v>
      </c>
      <c r="Q53" s="1884" t="e">
        <f ca="1">Q47+Q48</f>
        <v>#DIV/0!</v>
      </c>
      <c r="R53" s="1884" t="s">
        <v>1044</v>
      </c>
    </row>
    <row r="54" spans="1:18" s="1840" customFormat="1" ht="13.5" thickBot="1">
      <c r="A54" s="1404"/>
      <c r="B54" s="1823" t="s">
        <v>1383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#DIV/0!</v>
      </c>
      <c r="K55" s="1910" t="s">
        <v>1547</v>
      </c>
      <c r="L55" s="1911" t="s">
        <v>1548</v>
      </c>
      <c r="O55" s="1875" t="s">
        <v>1517</v>
      </c>
      <c r="P55" s="1876" t="s">
        <v>1518</v>
      </c>
      <c r="Q55" s="1877" t="s">
        <v>1519</v>
      </c>
      <c r="R55" s="1877" t="s">
        <v>1520</v>
      </c>
    </row>
    <row r="56" spans="1:18" s="1840" customFormat="1" ht="25.5" thickTop="1" thickBot="1">
      <c r="A56" s="1174">
        <v>2</v>
      </c>
      <c r="B56" s="1175" t="s">
        <v>1409</v>
      </c>
      <c r="C56" s="275">
        <f ca="1">C13</f>
        <v>0</v>
      </c>
      <c r="D56" s="1912"/>
      <c r="E56" s="1913"/>
      <c r="F56" s="1905"/>
      <c r="I56" s="1914" t="s">
        <v>1549</v>
      </c>
      <c r="J56" s="1915"/>
      <c r="K56" s="1885" t="s">
        <v>1550</v>
      </c>
      <c r="L56" s="1888">
        <f ca="1">IF(L48&lt;J51,"——",L48-J53)</f>
        <v>0</v>
      </c>
      <c r="O56" s="1882" t="s">
        <v>1037</v>
      </c>
      <c r="P56" s="1883" t="s">
        <v>1523</v>
      </c>
      <c r="Q56" s="1884" t="e">
        <f ca="1">C40+J29</f>
        <v>#DIV/0!</v>
      </c>
      <c r="R56" s="1884" t="s">
        <v>1524</v>
      </c>
    </row>
    <row r="57" spans="1:18" s="1840" customFormat="1" ht="24.75" thickBot="1">
      <c r="A57" s="1916"/>
      <c r="B57" s="1167" t="s">
        <v>1473</v>
      </c>
      <c r="C57" s="281">
        <f ca="1">C29</f>
        <v>0</v>
      </c>
      <c r="D57" s="1917"/>
      <c r="E57" s="1918"/>
      <c r="F57" s="1919"/>
      <c r="I57" s="1920" t="s">
        <v>1551</v>
      </c>
      <c r="J57" s="1921">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5" t="s">
        <v>1419</v>
      </c>
      <c r="C58" s="360">
        <f ca="1">ROUND(C59+C64+C65+C66,0)</f>
        <v>0</v>
      </c>
      <c r="D58" s="1177" t="s">
        <v>1420</v>
      </c>
      <c r="E58" s="1178"/>
      <c r="F58" s="1179"/>
      <c r="I58" s="1920" t="s">
        <v>1555</v>
      </c>
      <c r="J58" s="1922"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f ca="1">IF(项目基本情况!B11="企业","",IF(INDIRECT("'数据-取费表'!c"&amp;$G$1)="住宅",5%,IF(F49*F50*F51/12/(1+'数据-取费表'!C42)&gt;20000,12%,7%)))</f>
        <v>7.0000000000000007E-2</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IF(项目基本情况!B11="自然人","——",ROUND(C48*F60/(1+'数据-取费表'!C42),2))</f>
        <v>——</v>
      </c>
      <c r="D60" s="1181" t="s">
        <v>1429</v>
      </c>
      <c r="E60" s="1167"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IF(项目基本情况!B11="自然人","——",IF(D61="按租金收入计税",ROUND(C48*F61,2),IF(D61="按房产原值计税",ROUND(C57*F61*0.7,2),INDIRECT("'数据-取费表'!Aj"&amp;$G$1))))</f>
        <v>——</v>
      </c>
      <c r="D61" s="1826" t="s">
        <v>1433</v>
      </c>
      <c r="E61" s="1167" t="s">
        <v>1489</v>
      </c>
      <c r="F61" s="366">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t="str">
        <f>IF(项目基本情况!B11="自然人","——",ROUND(F62*F63/10000,2))</f>
        <v>——</v>
      </c>
      <c r="D62" s="1182" t="s">
        <v>1492</v>
      </c>
      <c r="E62" s="1167" t="s">
        <v>1493</v>
      </c>
      <c r="F62" s="370">
        <f t="shared" si="0"/>
        <v>12</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ROUND(C57*F64,1)</f>
        <v>0</v>
      </c>
      <c r="D64" s="1181" t="s">
        <v>1497</v>
      </c>
      <c r="E64" s="1167" t="s">
        <v>1489</v>
      </c>
      <c r="F64" s="373">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ROUND(C56*F65,1)</f>
        <v>0</v>
      </c>
      <c r="D65" s="1181" t="s">
        <v>1449</v>
      </c>
      <c r="E65" s="1167" t="s">
        <v>1450</v>
      </c>
      <c r="F65" s="375">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199" t="s">
        <v>1499</v>
      </c>
      <c r="B66" s="1167" t="s">
        <v>1434</v>
      </c>
      <c r="C66" s="23">
        <f ca="1">ROUND(C48*F66,1)</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1">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2"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2" t="s">
        <v>1579</v>
      </c>
      <c r="Q69" s="1884">
        <f ca="1">C39</f>
        <v>0</v>
      </c>
      <c r="R69" s="1884" t="s">
        <v>1524</v>
      </c>
    </row>
    <row r="70" spans="1:18" s="1840" customFormat="1" ht="13.5" thickBot="1">
      <c r="A70" s="1171"/>
      <c r="B70" s="1172"/>
      <c r="C70" s="354"/>
      <c r="D70" s="1183"/>
      <c r="E70" s="1167" t="s">
        <v>1472</v>
      </c>
      <c r="F70" s="1273"/>
      <c r="O70" s="1892" t="s">
        <v>1046</v>
      </c>
      <c r="P70" s="1932" t="s">
        <v>1580</v>
      </c>
      <c r="Q70" s="1884">
        <f ca="1">C13</f>
        <v>0</v>
      </c>
      <c r="R70" s="1884" t="s">
        <v>1524</v>
      </c>
    </row>
    <row r="71" spans="1:18" s="1840" customFormat="1" ht="13.5" thickBot="1">
      <c r="A71" s="1188" t="s">
        <v>1030</v>
      </c>
      <c r="B71" s="1189" t="s">
        <v>1482</v>
      </c>
      <c r="C71" s="381" t="e">
        <f ca="1">ROUND(C68*10000/F71,0)</f>
        <v>#DIV/0!</v>
      </c>
      <c r="D71" s="1190" t="s">
        <v>1483</v>
      </c>
      <c r="E71" s="1191" t="s">
        <v>1484</v>
      </c>
      <c r="F71" s="384">
        <f ca="1">F43</f>
        <v>0</v>
      </c>
      <c r="O71" s="1892" t="s">
        <v>1047</v>
      </c>
      <c r="P71" s="1932"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286</v>
      </c>
      <c r="C2" s="2568" t="s">
        <v>2519</v>
      </c>
      <c r="D2" s="2569" t="s">
        <v>2520</v>
      </c>
      <c r="E2" s="2570">
        <f>SUM(E6:E13)</f>
        <v>296.32</v>
      </c>
    </row>
    <row r="3" spans="1:6" ht="15.75">
      <c r="A3" s="2566" t="s">
        <v>1390</v>
      </c>
      <c r="B3" s="2567">
        <f ca="1">ROUND(B2*10000/E2,0)</f>
        <v>9652</v>
      </c>
      <c r="C3" s="2568" t="s">
        <v>2527</v>
      </c>
      <c r="D3" s="2571"/>
      <c r="E3" s="2572"/>
    </row>
    <row r="4" spans="1:6" ht="15.75">
      <c r="A4" s="2573"/>
      <c r="B4" s="2571"/>
      <c r="C4" s="2571"/>
      <c r="D4" s="2571"/>
      <c r="E4" s="2572"/>
    </row>
    <row r="5" spans="1:6" ht="15">
      <c r="A5" s="2574" t="s">
        <v>2521</v>
      </c>
      <c r="B5" s="3179" t="s">
        <v>2522</v>
      </c>
      <c r="C5" s="3179"/>
      <c r="D5" s="2575"/>
      <c r="E5" s="2576" t="s">
        <v>2523</v>
      </c>
      <c r="F5" s="2577" t="s">
        <v>2524</v>
      </c>
    </row>
    <row r="6" spans="1:6">
      <c r="A6" s="2578" t="str">
        <f>'数据-取费表'!AN6</f>
        <v>收益法-办公</v>
      </c>
      <c r="B6" s="2577">
        <f ca="1">IF(F6="是",'数据-取费表'!AO6,0)</f>
        <v>286</v>
      </c>
      <c r="C6" s="2568" t="s">
        <v>2519</v>
      </c>
      <c r="D6" s="2571"/>
      <c r="E6" s="2579">
        <f>IF(OR(A6=0,F6="否"),0,'数据-取费表'!K6+'数据-取费表'!S6)</f>
        <v>296.32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180" t="s">
        <v>1073</v>
      </c>
      <c r="B1" s="3181"/>
      <c r="C1" s="3182"/>
      <c r="D1" s="3183">
        <f>SUM(I10,I15,I20,I21,I23)</f>
        <v>0</v>
      </c>
      <c r="E1" s="3183"/>
      <c r="F1" s="3183"/>
      <c r="G1" s="3183"/>
      <c r="H1" s="3183"/>
      <c r="I1" s="3184"/>
    </row>
    <row r="2" spans="1:9">
      <c r="A2" s="3185" t="s">
        <v>1074</v>
      </c>
      <c r="B2" s="3186" t="s">
        <v>1075</v>
      </c>
      <c r="C2" s="3186"/>
      <c r="D2" s="1299" t="s">
        <v>1076</v>
      </c>
      <c r="E2" s="1299" t="s">
        <v>1077</v>
      </c>
      <c r="F2" s="1299" t="s">
        <v>1078</v>
      </c>
      <c r="G2" s="1299" t="s">
        <v>1079</v>
      </c>
      <c r="H2" s="1299" t="s">
        <v>1080</v>
      </c>
      <c r="I2" s="1300" t="s">
        <v>1081</v>
      </c>
    </row>
    <row r="3" spans="1:9">
      <c r="A3" s="3185"/>
      <c r="B3" s="3186" t="s">
        <v>1082</v>
      </c>
      <c r="C3" s="3186"/>
      <c r="D3" s="1301"/>
      <c r="E3" s="1299"/>
      <c r="F3" s="1302"/>
      <c r="G3" s="1302"/>
      <c r="H3" s="1303"/>
      <c r="I3" s="1304">
        <f>ROUND(D3*E3*F3*G3*H3/10000,0)</f>
        <v>0</v>
      </c>
    </row>
    <row r="4" spans="1:9">
      <c r="A4" s="3185"/>
      <c r="B4" s="3186" t="s">
        <v>1083</v>
      </c>
      <c r="C4" s="3186"/>
      <c r="D4" s="1301"/>
      <c r="E4" s="1299"/>
      <c r="F4" s="1302"/>
      <c r="G4" s="1302"/>
      <c r="H4" s="1303"/>
      <c r="I4" s="1304">
        <f t="shared" ref="I4:I9" si="0">ROUND(D4*E4*F4*G4*H4/10000,0)</f>
        <v>0</v>
      </c>
    </row>
    <row r="5" spans="1:9">
      <c r="A5" s="3185"/>
      <c r="B5" s="3186" t="s">
        <v>1084</v>
      </c>
      <c r="C5" s="3186"/>
      <c r="D5" s="1301"/>
      <c r="E5" s="1299"/>
      <c r="F5" s="1302"/>
      <c r="G5" s="1302"/>
      <c r="H5" s="1303"/>
      <c r="I5" s="1304">
        <f t="shared" si="0"/>
        <v>0</v>
      </c>
    </row>
    <row r="6" spans="1:9">
      <c r="A6" s="3185"/>
      <c r="B6" s="3186" t="s">
        <v>1085</v>
      </c>
      <c r="C6" s="3186"/>
      <c r="D6" s="1301"/>
      <c r="E6" s="1299"/>
      <c r="F6" s="1302"/>
      <c r="G6" s="1302"/>
      <c r="H6" s="1303"/>
      <c r="I6" s="1304">
        <f t="shared" si="0"/>
        <v>0</v>
      </c>
    </row>
    <row r="7" spans="1:9">
      <c r="A7" s="3185"/>
      <c r="B7" s="3186" t="s">
        <v>1086</v>
      </c>
      <c r="C7" s="3186"/>
      <c r="D7" s="1301"/>
      <c r="E7" s="1299"/>
      <c r="F7" s="1302"/>
      <c r="G7" s="1302"/>
      <c r="H7" s="1303"/>
      <c r="I7" s="1304">
        <f t="shared" si="0"/>
        <v>0</v>
      </c>
    </row>
    <row r="8" spans="1:9">
      <c r="A8" s="3185"/>
      <c r="B8" s="3186" t="s">
        <v>1087</v>
      </c>
      <c r="C8" s="3186"/>
      <c r="D8" s="1301"/>
      <c r="E8" s="1299"/>
      <c r="F8" s="1302"/>
      <c r="G8" s="1302"/>
      <c r="H8" s="1303"/>
      <c r="I8" s="1304">
        <f t="shared" si="0"/>
        <v>0</v>
      </c>
    </row>
    <row r="9" spans="1:9">
      <c r="A9" s="3185"/>
      <c r="B9" s="3186" t="s">
        <v>1088</v>
      </c>
      <c r="C9" s="3186"/>
      <c r="D9" s="1301"/>
      <c r="E9" s="1299"/>
      <c r="F9" s="1302"/>
      <c r="G9" s="1302"/>
      <c r="H9" s="1303"/>
      <c r="I9" s="1304">
        <f t="shared" si="0"/>
        <v>0</v>
      </c>
    </row>
    <row r="10" spans="1:9">
      <c r="A10" s="3185"/>
      <c r="B10" s="3187" t="s">
        <v>1089</v>
      </c>
      <c r="C10" s="3187"/>
      <c r="D10" s="1305"/>
      <c r="E10" s="1305" t="e">
        <f>ROUND(D1*10000/D10/H9,0)</f>
        <v>#DIV/0!</v>
      </c>
      <c r="F10" s="1306"/>
      <c r="G10" s="1306"/>
      <c r="H10" s="1307"/>
      <c r="I10" s="1308">
        <f>SUM(I3:I9)</f>
        <v>0</v>
      </c>
    </row>
    <row r="11" spans="1:9" ht="14.25">
      <c r="A11" s="3185" t="s">
        <v>1090</v>
      </c>
      <c r="B11" s="3186" t="s">
        <v>1091</v>
      </c>
      <c r="C11" s="3186"/>
      <c r="D11" s="1301" t="s">
        <v>1092</v>
      </c>
      <c r="E11" s="1301" t="s">
        <v>1093</v>
      </c>
      <c r="F11" s="1302" t="s">
        <v>1094</v>
      </c>
      <c r="G11" s="1302" t="s">
        <v>1080</v>
      </c>
      <c r="H11" s="1309" t="s">
        <v>1095</v>
      </c>
      <c r="I11" s="1300" t="s">
        <v>1081</v>
      </c>
    </row>
    <row r="12" spans="1:9">
      <c r="A12" s="3185"/>
      <c r="B12" s="3186" t="s">
        <v>1096</v>
      </c>
      <c r="C12" s="3186"/>
      <c r="D12" s="1301"/>
      <c r="E12" s="1301"/>
      <c r="F12" s="1302"/>
      <c r="G12" s="1303"/>
      <c r="H12" s="1310"/>
      <c r="I12" s="1300">
        <f>ROUND(D12*E12*F12*G12/10000,0)</f>
        <v>0</v>
      </c>
    </row>
    <row r="13" spans="1:9">
      <c r="A13" s="3185"/>
      <c r="B13" s="3186" t="s">
        <v>1097</v>
      </c>
      <c r="C13" s="3186"/>
      <c r="D13" s="1301"/>
      <c r="E13" s="1301"/>
      <c r="F13" s="1302"/>
      <c r="G13" s="1303"/>
      <c r="H13" s="1310"/>
      <c r="I13" s="1300">
        <f>ROUND(D13*E13*F13*G13/10000,0)</f>
        <v>0</v>
      </c>
    </row>
    <row r="14" spans="1:9">
      <c r="A14" s="3185"/>
      <c r="B14" s="3186" t="s">
        <v>1098</v>
      </c>
      <c r="C14" s="3186"/>
      <c r="D14" s="1301"/>
      <c r="E14" s="1301"/>
      <c r="F14" s="1302"/>
      <c r="G14" s="1303"/>
      <c r="H14" s="1310"/>
      <c r="I14" s="1300">
        <f>ROUND(D14*E14*F14*G14/10000,0)</f>
        <v>0</v>
      </c>
    </row>
    <row r="15" spans="1:9">
      <c r="A15" s="3185"/>
      <c r="B15" s="3187" t="s">
        <v>1089</v>
      </c>
      <c r="C15" s="3187"/>
      <c r="D15" s="1305"/>
      <c r="E15" s="1305">
        <f>SUM(E12:E14)</f>
        <v>0</v>
      </c>
      <c r="F15" s="1306"/>
      <c r="G15" s="1303"/>
      <c r="H15" s="1310"/>
      <c r="I15" s="1311">
        <f>SUM(I12:I14)</f>
        <v>0</v>
      </c>
    </row>
    <row r="16" spans="1:9" ht="24">
      <c r="A16" s="3185" t="s">
        <v>1099</v>
      </c>
      <c r="B16" s="3186" t="s">
        <v>1100</v>
      </c>
      <c r="C16" s="3186"/>
      <c r="D16" s="1301" t="s">
        <v>1076</v>
      </c>
      <c r="E16" s="1312" t="s">
        <v>1101</v>
      </c>
      <c r="F16" s="1302" t="s">
        <v>1102</v>
      </c>
      <c r="G16" s="1303" t="s">
        <v>1080</v>
      </c>
      <c r="H16" s="1309" t="s">
        <v>1095</v>
      </c>
      <c r="I16" s="1300" t="s">
        <v>1081</v>
      </c>
    </row>
    <row r="17" spans="1:9" ht="14.25">
      <c r="A17" s="3185"/>
      <c r="B17" s="3186" t="s">
        <v>1103</v>
      </c>
      <c r="C17" s="3186"/>
      <c r="D17" s="1301"/>
      <c r="E17" s="1301"/>
      <c r="F17" s="1302"/>
      <c r="G17" s="1303"/>
      <c r="H17" s="1313"/>
      <c r="I17" s="1314">
        <f>ROUND(D17*E17*F17*G17/10000,0)</f>
        <v>0</v>
      </c>
    </row>
    <row r="18" spans="1:9" ht="14.25">
      <c r="A18" s="3185"/>
      <c r="B18" s="3186" t="s">
        <v>1104</v>
      </c>
      <c r="C18" s="3186"/>
      <c r="D18" s="1301"/>
      <c r="E18" s="1301"/>
      <c r="F18" s="1302"/>
      <c r="G18" s="1303"/>
      <c r="H18" s="1313"/>
      <c r="I18" s="1314">
        <f>ROUND(D18*E18*F18*G18/10000,0)</f>
        <v>0</v>
      </c>
    </row>
    <row r="19" spans="1:9" ht="14.25">
      <c r="A19" s="3185"/>
      <c r="B19" s="3186" t="s">
        <v>1105</v>
      </c>
      <c r="C19" s="3186"/>
      <c r="D19" s="1301"/>
      <c r="E19" s="1301"/>
      <c r="F19" s="1302"/>
      <c r="G19" s="1303"/>
      <c r="H19" s="1313"/>
      <c r="I19" s="1314">
        <f>ROUND(D19*E19*F19*G19/10000,0)</f>
        <v>0</v>
      </c>
    </row>
    <row r="20" spans="1:9">
      <c r="A20" s="3185"/>
      <c r="B20" s="3187" t="s">
        <v>1089</v>
      </c>
      <c r="C20" s="3187"/>
      <c r="D20" s="1305">
        <f>SUM(D17:D19)</f>
        <v>0</v>
      </c>
      <c r="E20" s="1305"/>
      <c r="F20" s="1306"/>
      <c r="G20" s="1303"/>
      <c r="H20" s="1310"/>
      <c r="I20" s="1311">
        <f>SUM(I17:I19)</f>
        <v>0</v>
      </c>
    </row>
    <row r="21" spans="1:9">
      <c r="A21" s="3185" t="s">
        <v>1106</v>
      </c>
      <c r="B21" s="3189"/>
      <c r="C21" s="3189"/>
      <c r="D21" s="3189"/>
      <c r="E21" s="3189"/>
      <c r="F21" s="3189"/>
      <c r="G21" s="3189"/>
      <c r="H21" s="1763">
        <v>0.1</v>
      </c>
      <c r="I21" s="1308">
        <f>ROUND(I10*H21,0)</f>
        <v>0</v>
      </c>
    </row>
    <row r="22" spans="1:9" ht="14.25">
      <c r="A22" s="3190" t="s">
        <v>1107</v>
      </c>
      <c r="B22" s="3191"/>
      <c r="C22" s="3192"/>
      <c r="D22" s="1315" t="s">
        <v>1108</v>
      </c>
      <c r="E22" s="1315" t="s">
        <v>1109</v>
      </c>
      <c r="F22" s="1316" t="s">
        <v>1110</v>
      </c>
      <c r="G22" s="1316" t="s">
        <v>1111</v>
      </c>
      <c r="H22" s="1309" t="s">
        <v>1112</v>
      </c>
      <c r="I22" s="1300" t="s">
        <v>1113</v>
      </c>
    </row>
    <row r="23" spans="1:9" ht="14.25" thickBot="1">
      <c r="A23" s="3193"/>
      <c r="B23" s="3194"/>
      <c r="C23" s="3195"/>
      <c r="D23" s="1317"/>
      <c r="E23" s="1317"/>
      <c r="F23" s="1317"/>
      <c r="G23" s="1318"/>
      <c r="H23" s="1319"/>
      <c r="I23" s="1320">
        <f>ROUND(E23*D23*F23*(1-G23)/10000,0)</f>
        <v>0</v>
      </c>
    </row>
    <row r="26" spans="1:9">
      <c r="A26" s="1321" t="s">
        <v>1114</v>
      </c>
      <c r="B26" s="1321"/>
      <c r="C26" s="1321"/>
      <c r="D26" s="1321"/>
      <c r="E26" s="3196">
        <f>C27-C30-C31-C32</f>
        <v>0</v>
      </c>
      <c r="F26" s="3196"/>
      <c r="G26" s="3196"/>
      <c r="H26" s="1735" t="s">
        <v>1336</v>
      </c>
    </row>
    <row r="27" spans="1:9">
      <c r="A27" s="1322">
        <v>1</v>
      </c>
      <c r="B27" s="1323" t="s">
        <v>1115</v>
      </c>
      <c r="C27" s="1323">
        <f>C28+C29</f>
        <v>0</v>
      </c>
      <c r="D27" s="1323"/>
      <c r="E27" s="3197"/>
      <c r="F27" s="3197"/>
      <c r="G27" s="3197"/>
    </row>
    <row r="28" spans="1:9">
      <c r="A28" s="1324" t="s">
        <v>1116</v>
      </c>
      <c r="B28" s="1323" t="s">
        <v>1117</v>
      </c>
      <c r="C28" s="1323"/>
      <c r="D28" s="1323"/>
      <c r="E28" s="3197"/>
      <c r="F28" s="3197"/>
      <c r="G28" s="319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8"/>
      <c r="F32" s="3188"/>
      <c r="G32" s="3188"/>
    </row>
    <row r="33" spans="1:7" hidden="1">
      <c r="A33" s="3198" t="s">
        <v>1126</v>
      </c>
      <c r="B33" s="3199"/>
      <c r="C33" s="3199"/>
      <c r="D33" s="3200"/>
      <c r="E33" s="3196"/>
      <c r="F33" s="3196"/>
      <c r="G33" s="3196"/>
    </row>
    <row r="34" spans="1:7" hidden="1">
      <c r="A34" s="1326">
        <v>1</v>
      </c>
      <c r="B34" s="1323" t="s">
        <v>1127</v>
      </c>
      <c r="C34" s="1323"/>
      <c r="D34" s="1323"/>
      <c r="E34" s="3197"/>
      <c r="F34" s="3197"/>
      <c r="G34" s="3197"/>
    </row>
    <row r="35" spans="1:7" hidden="1">
      <c r="A35" s="1326">
        <v>2</v>
      </c>
      <c r="B35" s="1323" t="s">
        <v>1128</v>
      </c>
      <c r="C35" s="1323"/>
      <c r="D35" s="1323"/>
      <c r="E35" s="3197"/>
      <c r="F35" s="3197"/>
      <c r="G35" s="3197"/>
    </row>
    <row r="36" spans="1:7" hidden="1">
      <c r="A36" s="1326">
        <v>3</v>
      </c>
      <c r="B36" s="1323" t="s">
        <v>1129</v>
      </c>
      <c r="C36" s="1323"/>
      <c r="D36" s="1323"/>
      <c r="E36" s="3197"/>
      <c r="F36" s="3197"/>
      <c r="G36" s="3197"/>
    </row>
    <row r="37" spans="1:7" hidden="1">
      <c r="A37" s="1326">
        <v>4</v>
      </c>
      <c r="B37" s="1323" t="s">
        <v>1130</v>
      </c>
      <c r="C37" s="1323"/>
      <c r="D37" s="1323"/>
      <c r="E37" s="3197"/>
      <c r="F37" s="3197"/>
      <c r="G37" s="3197"/>
    </row>
    <row r="38" spans="1:7" hidden="1">
      <c r="A38" s="3198" t="s">
        <v>1131</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4" t="s">
        <v>2642</v>
      </c>
      <c r="C1" s="1632" t="s">
        <v>2530</v>
      </c>
      <c r="D1" s="1619"/>
      <c r="E1" s="2659"/>
      <c r="F1" s="2586"/>
      <c r="G1" s="1629" t="s">
        <v>2643</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7" customFormat="1" ht="28.5" customHeight="1" thickTop="1">
      <c r="A2" s="1615" t="s">
        <v>2327</v>
      </c>
      <c r="B2" s="1416" t="e">
        <f ca="1">IF(C2="——",ROUND(C49*D3/10000,0),ROUND(C49*D3/10000,0)-D2)</f>
        <v>#DIV/0!</v>
      </c>
      <c r="C2" s="2588"/>
      <c r="D2" s="1363" t="e">
        <f ca="1">SUMIF(INDIRECT("'"&amp;F2&amp;"'"&amp;"!A:A"),"承租人权益价值",INDIRECT("'"&amp;F2&amp;"'"&amp;"!c:c"))</f>
        <v>#REF!</v>
      </c>
      <c r="E2" s="2589" t="s">
        <v>2328</v>
      </c>
      <c r="F2" s="2590"/>
      <c r="G2" s="1123"/>
      <c r="H2" s="1123"/>
      <c r="I2" s="1123"/>
      <c r="J2" s="1123"/>
      <c r="K2" s="1123"/>
      <c r="L2" s="1126"/>
      <c r="M2" s="1127"/>
      <c r="N2" s="1127"/>
      <c r="O2" s="1127"/>
      <c r="P2" s="2663"/>
      <c r="Q2" s="1127"/>
      <c r="R2" s="1127"/>
      <c r="S2" s="1127"/>
      <c r="T2" s="1127"/>
      <c r="U2" s="1127"/>
      <c r="V2" s="1127"/>
      <c r="W2" s="1127"/>
      <c r="X2" s="1127"/>
      <c r="Y2" s="1127"/>
      <c r="Z2" s="1127"/>
      <c r="AA2" s="1127"/>
      <c r="AB2" s="1127"/>
      <c r="AC2" s="2664"/>
    </row>
    <row r="3" spans="1:29" s="397" customFormat="1" ht="28.5" customHeight="1" thickBot="1">
      <c r="A3" s="246" t="s">
        <v>2329</v>
      </c>
      <c r="B3" s="608" t="e">
        <f ca="1">IF(C2="——",C49,ROUND(B2*10000/D3,0))</f>
        <v>#DIV/0!</v>
      </c>
      <c r="C3" s="399" t="s">
        <v>2644</v>
      </c>
      <c r="D3" s="398">
        <f>IF(D1="",'数据-汇总表'!E3,SUMIF('数据-汇总表'!$C19:$C33,D1,'数据-汇总表'!$E19:$E33))</f>
        <v>2215.16</v>
      </c>
      <c r="E3" s="2665"/>
      <c r="F3" s="1124"/>
      <c r="G3" s="1123"/>
      <c r="H3" s="1123"/>
      <c r="I3" s="1123"/>
      <c r="J3" s="1123"/>
      <c r="K3" s="1125"/>
      <c r="L3" s="1126"/>
      <c r="M3" s="1127"/>
      <c r="N3" s="1127"/>
      <c r="O3" s="1127"/>
      <c r="P3" s="2663"/>
      <c r="Q3" s="1127"/>
      <c r="R3" s="1127"/>
      <c r="S3" s="1127"/>
      <c r="T3" s="1127"/>
      <c r="U3" s="1127"/>
      <c r="V3" s="1127"/>
      <c r="W3" s="1127"/>
      <c r="X3" s="1127"/>
      <c r="Y3" s="1127"/>
      <c r="Z3" s="1127"/>
      <c r="AA3" s="1127"/>
      <c r="AB3" s="1127"/>
      <c r="AC3" s="2665"/>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4" t="s">
        <v>2648</v>
      </c>
      <c r="AC4" s="3201" t="s">
        <v>2649</v>
      </c>
    </row>
    <row r="5" spans="1:29"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4"/>
      <c r="AC5" s="3202"/>
    </row>
    <row r="6" spans="1:29" ht="15.75" thickBot="1">
      <c r="A6" s="405"/>
      <c r="B6" s="406"/>
      <c r="C6" s="3215" t="s">
        <v>2546</v>
      </c>
      <c r="D6" s="3216"/>
      <c r="E6" s="3217" t="s">
        <v>2546</v>
      </c>
      <c r="F6" s="3218"/>
      <c r="G6" s="3215" t="s">
        <v>2546</v>
      </c>
      <c r="H6" s="3216"/>
      <c r="I6" s="3215" t="s">
        <v>2546</v>
      </c>
      <c r="J6" s="3216"/>
      <c r="K6" s="609" t="s">
        <v>2547</v>
      </c>
      <c r="L6" s="1128"/>
      <c r="M6" s="1129"/>
      <c r="N6" s="1129"/>
      <c r="O6" s="1129"/>
      <c r="P6" s="3228"/>
      <c r="Q6" s="3229"/>
      <c r="R6" s="3209"/>
      <c r="S6" s="3210"/>
      <c r="T6" s="3230"/>
      <c r="U6" s="3231"/>
      <c r="V6" s="3204"/>
      <c r="W6" s="3204"/>
      <c r="X6" s="1811"/>
      <c r="Y6" s="3230"/>
      <c r="Z6" s="3231"/>
      <c r="AA6" s="3203"/>
      <c r="AB6" s="3204"/>
      <c r="AC6" s="3203"/>
    </row>
    <row r="7" spans="1:29" s="116" customFormat="1" ht="15.75" thickBot="1">
      <c r="A7" s="407" t="s">
        <v>2548</v>
      </c>
      <c r="B7" s="408"/>
      <c r="C7" s="409">
        <f>'数据-取费表'!B2</f>
        <v>43656</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05" t="s">
        <v>2549</v>
      </c>
      <c r="Q7" s="3232"/>
      <c r="R7" s="768" t="s">
        <v>17</v>
      </c>
      <c r="S7" s="769">
        <f t="shared" ref="S7:S15" si="0">F7</f>
        <v>0</v>
      </c>
      <c r="T7" s="768" t="s">
        <v>17</v>
      </c>
      <c r="U7" s="769">
        <f t="shared" ref="U7:U15" si="1">H7</f>
        <v>0</v>
      </c>
      <c r="V7" s="768" t="s">
        <v>17</v>
      </c>
      <c r="W7" s="769">
        <f t="shared" ref="W7:W15" si="2">J7</f>
        <v>0</v>
      </c>
      <c r="X7" s="770"/>
      <c r="Y7" s="3205" t="s">
        <v>2549</v>
      </c>
      <c r="Z7" s="3206"/>
      <c r="AA7" s="771" t="e">
        <f>D7/F7</f>
        <v>#DIV/0!</v>
      </c>
      <c r="AB7" s="771" t="e">
        <f>D7/H7</f>
        <v>#DIV/0!</v>
      </c>
      <c r="AC7" s="771"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46" si="3">D8/F8</f>
        <v>#DIV/0!</v>
      </c>
      <c r="AB8" s="771" t="e">
        <f t="shared" ref="AB8:AB46" si="4">D8/H8</f>
        <v>#DIV/0!</v>
      </c>
      <c r="AC8" s="771"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9"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9"/>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9"/>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9"/>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9"/>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71.25">
      <c r="A15" s="439" t="s">
        <v>2559</v>
      </c>
      <c r="B15" s="68" t="s">
        <v>2653</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3" t="s">
        <v>2560</v>
      </c>
      <c r="Q15" s="1808" t="str">
        <f t="shared" si="6"/>
        <v>商业繁华度</v>
      </c>
      <c r="R15" s="772" t="s">
        <v>17</v>
      </c>
      <c r="S15" s="773">
        <f t="shared" si="0"/>
        <v>100</v>
      </c>
      <c r="T15" s="772" t="s">
        <v>17</v>
      </c>
      <c r="U15" s="773">
        <f t="shared" si="1"/>
        <v>100</v>
      </c>
      <c r="V15" s="772" t="s">
        <v>17</v>
      </c>
      <c r="W15" s="773">
        <f t="shared" si="2"/>
        <v>100</v>
      </c>
      <c r="X15" s="1811"/>
      <c r="Y15" s="3235" t="s">
        <v>2560</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34"/>
      <c r="Q16" s="1808"/>
      <c r="R16" s="772"/>
      <c r="S16" s="773"/>
      <c r="T16" s="772"/>
      <c r="U16" s="773"/>
      <c r="V16" s="772"/>
      <c r="W16" s="773"/>
      <c r="X16" s="1811"/>
      <c r="Y16" s="3236"/>
      <c r="Z16" s="1812"/>
      <c r="AA16" s="1809">
        <v>1</v>
      </c>
      <c r="AB16" s="1809">
        <v>1</v>
      </c>
      <c r="AC16" s="1809">
        <v>1</v>
      </c>
    </row>
    <row r="17" spans="1:29" ht="85.5">
      <c r="A17" s="427"/>
      <c r="B17" s="450" t="s">
        <v>2095</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4"/>
      <c r="Q17" s="1808" t="str">
        <f>B17</f>
        <v>交通便捷度</v>
      </c>
      <c r="R17" s="772" t="s">
        <v>17</v>
      </c>
      <c r="S17" s="773">
        <f>F17</f>
        <v>100</v>
      </c>
      <c r="T17" s="772" t="s">
        <v>17</v>
      </c>
      <c r="U17" s="773">
        <f>H17</f>
        <v>100</v>
      </c>
      <c r="V17" s="772" t="s">
        <v>17</v>
      </c>
      <c r="W17" s="773">
        <f>J17</f>
        <v>100</v>
      </c>
      <c r="X17" s="1811"/>
      <c r="Y17" s="3236"/>
      <c r="Z17" s="1812" t="str">
        <f>Q17</f>
        <v>交通便捷度</v>
      </c>
      <c r="AA17" s="1809">
        <f t="shared" si="3"/>
        <v>1</v>
      </c>
      <c r="AB17" s="1809">
        <f t="shared" si="4"/>
        <v>1</v>
      </c>
      <c r="AC17" s="1809">
        <f t="shared" si="5"/>
        <v>1</v>
      </c>
    </row>
    <row r="18" spans="1:29" ht="15">
      <c r="A18" s="427"/>
      <c r="B18" s="455"/>
      <c r="C18" s="2610"/>
      <c r="D18" s="449"/>
      <c r="E18" s="2612"/>
      <c r="F18" s="452"/>
      <c r="G18" s="2611"/>
      <c r="H18" s="447"/>
      <c r="I18" s="2612"/>
      <c r="J18" s="447"/>
      <c r="K18" s="614"/>
      <c r="L18" s="1138"/>
      <c r="M18" s="1129"/>
      <c r="N18" s="1129"/>
      <c r="O18" s="1129"/>
      <c r="P18" s="3234"/>
      <c r="Q18" s="1808"/>
      <c r="R18" s="772"/>
      <c r="S18" s="773"/>
      <c r="T18" s="772"/>
      <c r="U18" s="773"/>
      <c r="V18" s="772"/>
      <c r="W18" s="773"/>
      <c r="X18" s="1811"/>
      <c r="Y18" s="3236"/>
      <c r="Z18" s="1812"/>
      <c r="AA18" s="1809">
        <v>1</v>
      </c>
      <c r="AB18" s="1809">
        <v>1</v>
      </c>
      <c r="AC18" s="1809">
        <v>1</v>
      </c>
    </row>
    <row r="19" spans="1:29" ht="42.75">
      <c r="A19" s="427"/>
      <c r="B19" s="450" t="s">
        <v>2654</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4"/>
      <c r="Q19" s="1808" t="str">
        <f>B19</f>
        <v>公共配套设施</v>
      </c>
      <c r="R19" s="772" t="s">
        <v>17</v>
      </c>
      <c r="S19" s="773">
        <f>F19</f>
        <v>100</v>
      </c>
      <c r="T19" s="772" t="s">
        <v>17</v>
      </c>
      <c r="U19" s="773">
        <f>H19</f>
        <v>100</v>
      </c>
      <c r="V19" s="772" t="s">
        <v>17</v>
      </c>
      <c r="W19" s="773">
        <f>J19</f>
        <v>100</v>
      </c>
      <c r="X19" s="1811"/>
      <c r="Y19" s="3236"/>
      <c r="Z19" s="1812" t="str">
        <f>Q19</f>
        <v>公共配套设施</v>
      </c>
      <c r="AA19" s="1809">
        <f t="shared" si="3"/>
        <v>1</v>
      </c>
      <c r="AB19" s="1809">
        <f t="shared" si="4"/>
        <v>1</v>
      </c>
      <c r="AC19" s="1809">
        <f t="shared" si="5"/>
        <v>1</v>
      </c>
    </row>
    <row r="20" spans="1:29" ht="15">
      <c r="A20" s="427"/>
      <c r="B20" s="455"/>
      <c r="C20" s="446"/>
      <c r="D20" s="447"/>
      <c r="E20" s="2607"/>
      <c r="F20" s="448"/>
      <c r="G20" s="2606"/>
      <c r="H20" s="447"/>
      <c r="I20" s="2607"/>
      <c r="J20" s="447"/>
      <c r="K20" s="614"/>
      <c r="L20" s="1138"/>
      <c r="M20" s="1129"/>
      <c r="N20" s="1129"/>
      <c r="O20" s="1129"/>
      <c r="P20" s="3234"/>
      <c r="Q20" s="1808"/>
      <c r="R20" s="772"/>
      <c r="S20" s="773"/>
      <c r="T20" s="772"/>
      <c r="U20" s="773"/>
      <c r="V20" s="772"/>
      <c r="W20" s="773"/>
      <c r="X20" s="1811"/>
      <c r="Y20" s="3236"/>
      <c r="Z20" s="1812"/>
      <c r="AA20" s="1809">
        <v>1</v>
      </c>
      <c r="AB20" s="1809">
        <v>1</v>
      </c>
      <c r="AC20" s="1809">
        <v>1</v>
      </c>
    </row>
    <row r="21" spans="1:29" ht="28.5">
      <c r="A21" s="427"/>
      <c r="B21" s="1382" t="s">
        <v>2655</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4"/>
      <c r="Q21" s="1808" t="str">
        <f>B21</f>
        <v>基础设施水平</v>
      </c>
      <c r="R21" s="772" t="s">
        <v>17</v>
      </c>
      <c r="S21" s="773">
        <f>F21</f>
        <v>100</v>
      </c>
      <c r="T21" s="772" t="s">
        <v>17</v>
      </c>
      <c r="U21" s="773">
        <f>H21</f>
        <v>100</v>
      </c>
      <c r="V21" s="772" t="s">
        <v>17</v>
      </c>
      <c r="W21" s="773">
        <f>J21</f>
        <v>100</v>
      </c>
      <c r="X21" s="1811"/>
      <c r="Y21" s="323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8"/>
      <c r="G22" s="446"/>
      <c r="H22" s="447"/>
      <c r="I22" s="446"/>
      <c r="J22" s="447"/>
      <c r="K22" s="1381"/>
      <c r="L22" s="1138"/>
      <c r="M22" s="1129"/>
      <c r="N22" s="1129"/>
      <c r="O22" s="1129"/>
      <c r="P22" s="3234"/>
      <c r="Q22" s="1808"/>
      <c r="R22" s="772"/>
      <c r="S22" s="773"/>
      <c r="T22" s="772"/>
      <c r="U22" s="773"/>
      <c r="V22" s="772"/>
      <c r="W22" s="773"/>
      <c r="X22" s="1811"/>
      <c r="Y22" s="3236"/>
      <c r="Z22" s="1812"/>
      <c r="AA22" s="1809">
        <v>1</v>
      </c>
      <c r="AB22" s="1809">
        <v>1</v>
      </c>
      <c r="AC22" s="1809">
        <v>1</v>
      </c>
    </row>
    <row r="23" spans="1:29" ht="57">
      <c r="A23" s="427"/>
      <c r="B23" s="450" t="s">
        <v>2100</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4"/>
      <c r="Q23" s="1808" t="str">
        <f>B23</f>
        <v>自然及人文环境</v>
      </c>
      <c r="R23" s="772" t="s">
        <v>17</v>
      </c>
      <c r="S23" s="773">
        <f>F23</f>
        <v>100</v>
      </c>
      <c r="T23" s="772" t="s">
        <v>17</v>
      </c>
      <c r="U23" s="773">
        <f>H23</f>
        <v>100</v>
      </c>
      <c r="V23" s="772" t="s">
        <v>17</v>
      </c>
      <c r="W23" s="773">
        <f>J23</f>
        <v>100</v>
      </c>
      <c r="X23" s="1811"/>
      <c r="Y23" s="3236"/>
      <c r="Z23" s="1812" t="str">
        <f>Q23</f>
        <v>自然及人文环境</v>
      </c>
      <c r="AA23" s="1809">
        <f t="shared" si="3"/>
        <v>1</v>
      </c>
      <c r="AB23" s="1809">
        <f t="shared" si="4"/>
        <v>1</v>
      </c>
      <c r="AC23" s="1809">
        <f t="shared" si="5"/>
        <v>1</v>
      </c>
    </row>
    <row r="24" spans="1:29" ht="15">
      <c r="A24" s="427"/>
      <c r="B24" s="455"/>
      <c r="C24" s="446"/>
      <c r="D24" s="447"/>
      <c r="E24" s="2607"/>
      <c r="F24" s="448"/>
      <c r="G24" s="2606"/>
      <c r="H24" s="447"/>
      <c r="I24" s="2607"/>
      <c r="J24" s="447"/>
      <c r="K24" s="614"/>
      <c r="L24" s="1138"/>
      <c r="M24" s="1129"/>
      <c r="N24" s="1129"/>
      <c r="O24" s="1129"/>
      <c r="P24" s="3234"/>
      <c r="Q24" s="1808"/>
      <c r="R24" s="772"/>
      <c r="S24" s="773"/>
      <c r="T24" s="772"/>
      <c r="U24" s="773"/>
      <c r="V24" s="772"/>
      <c r="W24" s="773"/>
      <c r="X24" s="1811"/>
      <c r="Y24" s="3236"/>
      <c r="Z24" s="1812"/>
      <c r="AA24" s="1809">
        <v>1</v>
      </c>
      <c r="AB24" s="1809">
        <v>1</v>
      </c>
      <c r="AC24" s="1809">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4"/>
      <c r="Q25" s="1808" t="str">
        <f t="shared" ref="Q25:Q46" si="11">B25</f>
        <v>临街状况</v>
      </c>
      <c r="R25" s="772" t="s">
        <v>17</v>
      </c>
      <c r="S25" s="773">
        <f>F25</f>
        <v>100</v>
      </c>
      <c r="T25" s="772" t="s">
        <v>17</v>
      </c>
      <c r="U25" s="773">
        <f>H25</f>
        <v>100</v>
      </c>
      <c r="V25" s="772" t="s">
        <v>17</v>
      </c>
      <c r="W25" s="773">
        <f>J25</f>
        <v>100</v>
      </c>
      <c r="X25" s="1811"/>
      <c r="Y25" s="3236"/>
      <c r="Z25" s="1812" t="str">
        <f>Q25</f>
        <v>临街状况</v>
      </c>
      <c r="AA25" s="1809">
        <f t="shared" si="3"/>
        <v>1</v>
      </c>
      <c r="AB25" s="1809">
        <f t="shared" si="4"/>
        <v>1</v>
      </c>
      <c r="AC25" s="1809">
        <f t="shared" si="5"/>
        <v>1</v>
      </c>
    </row>
    <row r="26" spans="1:29" ht="15">
      <c r="A26" s="427"/>
      <c r="B26" s="1384" t="s">
        <v>2657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4"/>
      <c r="Q26" s="1808" t="str">
        <f t="shared" si="11"/>
        <v>平面位置/可视性</v>
      </c>
      <c r="R26" s="772" t="s">
        <v>17</v>
      </c>
      <c r="S26" s="773">
        <f>F26</f>
        <v>100</v>
      </c>
      <c r="T26" s="772" t="s">
        <v>17</v>
      </c>
      <c r="U26" s="773">
        <f>H26</f>
        <v>100</v>
      </c>
      <c r="V26" s="772" t="s">
        <v>17</v>
      </c>
      <c r="W26" s="773">
        <f>J26</f>
        <v>100</v>
      </c>
      <c r="X26" s="1811"/>
      <c r="Y26" s="3236"/>
      <c r="Z26" s="1812" t="str">
        <f>Q26</f>
        <v>平面位置/可视性</v>
      </c>
      <c r="AA26" s="1809">
        <f t="shared" si="3"/>
        <v>1</v>
      </c>
      <c r="AB26" s="1809">
        <f t="shared" si="4"/>
        <v>1</v>
      </c>
      <c r="AC26" s="1809">
        <f t="shared" si="5"/>
        <v>1</v>
      </c>
    </row>
    <row r="27" spans="1:29" s="116" customFormat="1" ht="15">
      <c r="A27" s="430"/>
      <c r="B27" s="450" t="s">
        <v>2658</v>
      </c>
      <c r="C27" s="2667"/>
      <c r="D27" s="461">
        <v>100</v>
      </c>
      <c r="E27" s="2667"/>
      <c r="F27" s="463">
        <f>SUMIF(90:90,E27,91:91)-SUMIF(90:90,C27,91:91)+100</f>
        <v>100</v>
      </c>
      <c r="G27" s="2667"/>
      <c r="H27" s="461">
        <f>SUMIF(90:90,G27,91:91)-SUMIF(90:90,C27,91:91)+100</f>
        <v>100</v>
      </c>
      <c r="I27" s="2667"/>
      <c r="J27" s="461">
        <f>SUMIF(90:90,I27,91:91)-SUMIF(90:90,C27,91:91)+100</f>
        <v>100</v>
      </c>
      <c r="K27" s="611"/>
      <c r="L27" s="1130"/>
      <c r="M27" s="1131"/>
      <c r="N27" s="1131"/>
      <c r="O27" s="1131"/>
      <c r="P27" s="3234"/>
      <c r="Q27" s="1793" t="str">
        <f t="shared" si="11"/>
        <v>人流量</v>
      </c>
      <c r="R27" s="768" t="s">
        <v>17</v>
      </c>
      <c r="S27" s="769">
        <f>F27</f>
        <v>100</v>
      </c>
      <c r="T27" s="768" t="s">
        <v>17</v>
      </c>
      <c r="U27" s="769">
        <f>H27</f>
        <v>100</v>
      </c>
      <c r="V27" s="768" t="s">
        <v>17</v>
      </c>
      <c r="W27" s="769">
        <f>J27</f>
        <v>100</v>
      </c>
      <c r="X27" s="770"/>
      <c r="Y27" s="3236"/>
      <c r="Z27" s="54" t="str">
        <f>Q27</f>
        <v>人流量</v>
      </c>
      <c r="AA27" s="1809">
        <f>D27/F27</f>
        <v>1</v>
      </c>
      <c r="AB27" s="1809">
        <f>D27/H27</f>
        <v>1</v>
      </c>
      <c r="AC27" s="1809">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4"/>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6"/>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4"/>
      <c r="Q29" s="1808">
        <f t="shared" si="11"/>
        <v>111</v>
      </c>
      <c r="R29" s="772" t="s">
        <v>17</v>
      </c>
      <c r="S29" s="773">
        <f t="shared" si="12"/>
        <v>100</v>
      </c>
      <c r="T29" s="772" t="s">
        <v>17</v>
      </c>
      <c r="U29" s="773">
        <f t="shared" si="13"/>
        <v>100</v>
      </c>
      <c r="V29" s="772" t="s">
        <v>17</v>
      </c>
      <c r="W29" s="773">
        <f t="shared" si="14"/>
        <v>100</v>
      </c>
      <c r="X29" s="1811"/>
      <c r="Y29" s="3236"/>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4"/>
      <c r="Q30" s="1808">
        <f t="shared" si="11"/>
        <v>111</v>
      </c>
      <c r="R30" s="772" t="s">
        <v>17</v>
      </c>
      <c r="S30" s="773">
        <f t="shared" si="12"/>
        <v>100</v>
      </c>
      <c r="T30" s="772" t="s">
        <v>17</v>
      </c>
      <c r="U30" s="773">
        <f t="shared" si="13"/>
        <v>100</v>
      </c>
      <c r="V30" s="772" t="s">
        <v>17</v>
      </c>
      <c r="W30" s="773">
        <f t="shared" si="14"/>
        <v>100</v>
      </c>
      <c r="X30" s="1811"/>
      <c r="Y30" s="3236"/>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4"/>
      <c r="Q31" s="1808">
        <f t="shared" si="11"/>
        <v>111</v>
      </c>
      <c r="R31" s="772" t="s">
        <v>17</v>
      </c>
      <c r="S31" s="773">
        <f t="shared" si="12"/>
        <v>100</v>
      </c>
      <c r="T31" s="772" t="s">
        <v>17</v>
      </c>
      <c r="U31" s="773">
        <f t="shared" si="13"/>
        <v>100</v>
      </c>
      <c r="V31" s="772" t="s">
        <v>17</v>
      </c>
      <c r="W31" s="773">
        <f t="shared" si="14"/>
        <v>100</v>
      </c>
      <c r="X31" s="1811"/>
      <c r="Y31" s="3236"/>
      <c r="Z31" s="1812">
        <f t="shared" si="15"/>
        <v>111</v>
      </c>
      <c r="AA31" s="1809">
        <f t="shared" si="3"/>
        <v>1</v>
      </c>
      <c r="AB31" s="1809">
        <f t="shared" si="4"/>
        <v>1</v>
      </c>
      <c r="AC31" s="1809">
        <f t="shared" si="5"/>
        <v>1</v>
      </c>
    </row>
    <row r="32" spans="1:29" ht="15">
      <c r="A32" s="439" t="s">
        <v>2563</v>
      </c>
      <c r="B32" s="70" t="s">
        <v>2660</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38"/>
      <c r="M32" s="1129"/>
      <c r="N32" s="1129"/>
      <c r="O32" s="1129"/>
      <c r="P32" s="3237" t="s">
        <v>2565</v>
      </c>
      <c r="Q32" s="1808" t="str">
        <f t="shared" si="11"/>
        <v>商业类型</v>
      </c>
      <c r="R32" s="772" t="s">
        <v>17</v>
      </c>
      <c r="S32" s="773">
        <f t="shared" si="12"/>
        <v>100</v>
      </c>
      <c r="T32" s="772" t="s">
        <v>17</v>
      </c>
      <c r="U32" s="773">
        <f t="shared" si="13"/>
        <v>100</v>
      </c>
      <c r="V32" s="772" t="s">
        <v>17</v>
      </c>
      <c r="W32" s="773">
        <f t="shared" si="14"/>
        <v>100</v>
      </c>
      <c r="X32" s="1811"/>
      <c r="Y32" s="3240" t="s">
        <v>2565</v>
      </c>
      <c r="Z32" s="1812" t="str">
        <f t="shared" si="15"/>
        <v>商业类型</v>
      </c>
      <c r="AA32" s="1809">
        <f t="shared" si="3"/>
        <v>1</v>
      </c>
      <c r="AB32" s="1809">
        <f t="shared" si="4"/>
        <v>1</v>
      </c>
      <c r="AC32" s="1809">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38"/>
      <c r="Q33" s="774" t="str">
        <f t="shared" si="11"/>
        <v>项目建筑规模</v>
      </c>
      <c r="R33" s="775" t="s">
        <v>17</v>
      </c>
      <c r="S33" s="776" t="e">
        <f t="shared" si="12"/>
        <v>#N/A</v>
      </c>
      <c r="T33" s="775" t="s">
        <v>17</v>
      </c>
      <c r="U33" s="776" t="e">
        <f t="shared" si="13"/>
        <v>#N/A</v>
      </c>
      <c r="V33" s="775" t="s">
        <v>17</v>
      </c>
      <c r="W33" s="776" t="e">
        <f t="shared" si="14"/>
        <v>#N/A</v>
      </c>
      <c r="X33" s="777"/>
      <c r="Y33" s="3240"/>
      <c r="Z33" s="778" t="str">
        <f t="shared" si="15"/>
        <v>项目建筑规模</v>
      </c>
      <c r="AA33" s="1809" t="e">
        <f t="shared" si="3"/>
        <v>#N/A</v>
      </c>
      <c r="AB33" s="1809" t="e">
        <f t="shared" si="4"/>
        <v>#N/A</v>
      </c>
      <c r="AC33" s="1809" t="e">
        <f t="shared" si="5"/>
        <v>#N/A</v>
      </c>
    </row>
    <row r="34" spans="1:29" ht="15">
      <c r="A34" s="471"/>
      <c r="B34" s="421" t="s">
        <v>2567</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38"/>
      <c r="M34" s="1129"/>
      <c r="N34" s="1129"/>
      <c r="O34" s="1129"/>
      <c r="P34" s="3238"/>
      <c r="Q34" s="1808" t="str">
        <f t="shared" si="11"/>
        <v>建筑结构</v>
      </c>
      <c r="R34" s="772" t="s">
        <v>17</v>
      </c>
      <c r="S34" s="773">
        <f t="shared" si="12"/>
        <v>100</v>
      </c>
      <c r="T34" s="772" t="s">
        <v>17</v>
      </c>
      <c r="U34" s="773">
        <f t="shared" si="13"/>
        <v>100</v>
      </c>
      <c r="V34" s="772" t="s">
        <v>17</v>
      </c>
      <c r="W34" s="773">
        <f t="shared" si="14"/>
        <v>100</v>
      </c>
      <c r="X34" s="1811"/>
      <c r="Y34" s="3240"/>
      <c r="Z34" s="1812" t="str">
        <f t="shared" si="15"/>
        <v>建筑结构</v>
      </c>
      <c r="AA34" s="1809">
        <f t="shared" si="3"/>
        <v>1</v>
      </c>
      <c r="AB34" s="1809">
        <f t="shared" si="4"/>
        <v>1</v>
      </c>
      <c r="AC34" s="1809">
        <f t="shared" si="5"/>
        <v>1</v>
      </c>
    </row>
    <row r="35" spans="1:29" ht="15">
      <c r="A35" s="471"/>
      <c r="B35" s="421" t="s">
        <v>2661</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38"/>
      <c r="M35" s="1129"/>
      <c r="N35" s="1129"/>
      <c r="O35" s="1129"/>
      <c r="P35" s="3238"/>
      <c r="Q35" s="1808" t="str">
        <f t="shared" si="11"/>
        <v>公共部分装修</v>
      </c>
      <c r="R35" s="772" t="s">
        <v>17</v>
      </c>
      <c r="S35" s="773">
        <f t="shared" si="12"/>
        <v>100</v>
      </c>
      <c r="T35" s="772" t="s">
        <v>17</v>
      </c>
      <c r="U35" s="773">
        <f t="shared" si="13"/>
        <v>100</v>
      </c>
      <c r="V35" s="772" t="s">
        <v>17</v>
      </c>
      <c r="W35" s="773">
        <f t="shared" si="14"/>
        <v>100</v>
      </c>
      <c r="X35" s="1811"/>
      <c r="Y35" s="3240"/>
      <c r="Z35" s="1812" t="str">
        <f t="shared" si="15"/>
        <v>公共部分装修</v>
      </c>
      <c r="AA35" s="1809">
        <f t="shared" si="3"/>
        <v>1</v>
      </c>
      <c r="AB35" s="1809">
        <f t="shared" si="4"/>
        <v>1</v>
      </c>
      <c r="AC35" s="1809">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8"/>
      <c r="Q36" s="1808" t="str">
        <f t="shared" si="11"/>
        <v>成新度</v>
      </c>
      <c r="R36" s="772" t="s">
        <v>17</v>
      </c>
      <c r="S36" s="773" t="e">
        <f t="shared" si="12"/>
        <v>#N/A</v>
      </c>
      <c r="T36" s="772" t="s">
        <v>17</v>
      </c>
      <c r="U36" s="773" t="e">
        <f t="shared" si="13"/>
        <v>#N/A</v>
      </c>
      <c r="V36" s="772" t="s">
        <v>17</v>
      </c>
      <c r="W36" s="773" t="e">
        <f t="shared" si="14"/>
        <v>#N/A</v>
      </c>
      <c r="X36" s="1811"/>
      <c r="Y36" s="3240"/>
      <c r="Z36" s="1812" t="str">
        <f t="shared" si="15"/>
        <v>成新度</v>
      </c>
      <c r="AA36" s="1809" t="e">
        <f t="shared" si="3"/>
        <v>#N/A</v>
      </c>
      <c r="AB36" s="1809" t="e">
        <f t="shared" si="4"/>
        <v>#N/A</v>
      </c>
      <c r="AC36" s="1809" t="e">
        <f t="shared" si="5"/>
        <v>#N/A</v>
      </c>
    </row>
    <row r="37" spans="1:29" s="116" customFormat="1" ht="15">
      <c r="A37" s="472"/>
      <c r="B37" s="421" t="s">
        <v>2663</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0"/>
      <c r="M37" s="1131"/>
      <c r="N37" s="1131"/>
      <c r="O37" s="1131"/>
      <c r="P37" s="3238"/>
      <c r="Q37" s="1793" t="str">
        <f t="shared" si="11"/>
        <v>市政基础设施</v>
      </c>
      <c r="R37" s="768" t="s">
        <v>17</v>
      </c>
      <c r="S37" s="769">
        <f t="shared" si="12"/>
        <v>100</v>
      </c>
      <c r="T37" s="768" t="s">
        <v>17</v>
      </c>
      <c r="U37" s="769">
        <f t="shared" si="13"/>
        <v>100</v>
      </c>
      <c r="V37" s="768" t="s">
        <v>17</v>
      </c>
      <c r="W37" s="769">
        <f t="shared" si="14"/>
        <v>100</v>
      </c>
      <c r="X37" s="770"/>
      <c r="Y37" s="3240"/>
      <c r="Z37" s="54" t="str">
        <f t="shared" si="15"/>
        <v>市政基础设施</v>
      </c>
      <c r="AA37" s="771">
        <f t="shared" si="3"/>
        <v>1</v>
      </c>
      <c r="AB37" s="771">
        <f t="shared" si="4"/>
        <v>1</v>
      </c>
      <c r="AC37" s="771">
        <f t="shared" si="5"/>
        <v>1</v>
      </c>
    </row>
    <row r="38" spans="1:29" ht="15">
      <c r="A38" s="471"/>
      <c r="B38" s="421" t="s">
        <v>2664</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38"/>
      <c r="M38" s="1129"/>
      <c r="N38" s="1129"/>
      <c r="O38" s="1129"/>
      <c r="P38" s="3238" t="s">
        <v>2565</v>
      </c>
      <c r="Q38" s="1808" t="str">
        <f t="shared" si="11"/>
        <v>业态</v>
      </c>
      <c r="R38" s="772" t="s">
        <v>17</v>
      </c>
      <c r="S38" s="773">
        <f t="shared" si="12"/>
        <v>100</v>
      </c>
      <c r="T38" s="772" t="s">
        <v>17</v>
      </c>
      <c r="U38" s="773">
        <f t="shared" si="13"/>
        <v>100</v>
      </c>
      <c r="V38" s="772" t="s">
        <v>17</v>
      </c>
      <c r="W38" s="773">
        <f t="shared" si="14"/>
        <v>100</v>
      </c>
      <c r="X38" s="1811"/>
      <c r="Y38" s="3240" t="s">
        <v>2565</v>
      </c>
      <c r="Z38" s="1812" t="str">
        <f t="shared" si="15"/>
        <v>业态</v>
      </c>
      <c r="AA38" s="1809">
        <f t="shared" si="3"/>
        <v>1</v>
      </c>
      <c r="AB38" s="1809">
        <f t="shared" si="4"/>
        <v>1</v>
      </c>
      <c r="AC38" s="1809">
        <f t="shared" si="5"/>
        <v>1</v>
      </c>
    </row>
    <row r="39" spans="1:29" ht="15">
      <c r="A39" s="471"/>
      <c r="B39" s="421" t="s">
        <v>2665</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38"/>
      <c r="M39" s="1129"/>
      <c r="N39" s="1129"/>
      <c r="O39" s="1129"/>
      <c r="P39" s="3238"/>
      <c r="Q39" s="1808" t="str">
        <f t="shared" si="11"/>
        <v>层高</v>
      </c>
      <c r="R39" s="772" t="s">
        <v>17</v>
      </c>
      <c r="S39" s="773">
        <f t="shared" si="12"/>
        <v>100</v>
      </c>
      <c r="T39" s="772" t="s">
        <v>17</v>
      </c>
      <c r="U39" s="773">
        <f t="shared" si="13"/>
        <v>100</v>
      </c>
      <c r="V39" s="772" t="s">
        <v>17</v>
      </c>
      <c r="W39" s="773">
        <f t="shared" si="14"/>
        <v>100</v>
      </c>
      <c r="X39" s="1811"/>
      <c r="Y39" s="3240"/>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8"/>
      <c r="Q40" s="1808" t="str">
        <f t="shared" si="11"/>
        <v>单套建筑面积</v>
      </c>
      <c r="R40" s="772" t="s">
        <v>17</v>
      </c>
      <c r="S40" s="773">
        <f t="shared" si="12"/>
        <v>100</v>
      </c>
      <c r="T40" s="772" t="s">
        <v>17</v>
      </c>
      <c r="U40" s="773">
        <f t="shared" si="13"/>
        <v>100</v>
      </c>
      <c r="V40" s="772" t="s">
        <v>17</v>
      </c>
      <c r="W40" s="773">
        <f t="shared" si="14"/>
        <v>100</v>
      </c>
      <c r="X40" s="1811"/>
      <c r="Y40" s="3240"/>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8"/>
      <c r="Q41" s="774" t="str">
        <f t="shared" si="11"/>
        <v>进深比</v>
      </c>
      <c r="R41" s="775" t="s">
        <v>17</v>
      </c>
      <c r="S41" s="776">
        <f t="shared" si="12"/>
        <v>100</v>
      </c>
      <c r="T41" s="775" t="s">
        <v>17</v>
      </c>
      <c r="U41" s="776">
        <f t="shared" si="13"/>
        <v>100</v>
      </c>
      <c r="V41" s="775" t="s">
        <v>17</v>
      </c>
      <c r="W41" s="776">
        <f t="shared" si="14"/>
        <v>100</v>
      </c>
      <c r="X41" s="777"/>
      <c r="Y41" s="3240"/>
      <c r="Z41" s="778" t="str">
        <f t="shared" si="15"/>
        <v>进深比</v>
      </c>
      <c r="AA41" s="1809">
        <f t="shared" si="3"/>
        <v>1</v>
      </c>
      <c r="AB41" s="1809">
        <f t="shared" si="4"/>
        <v>1</v>
      </c>
      <c r="AC41" s="1809">
        <f t="shared" si="5"/>
        <v>1</v>
      </c>
    </row>
    <row r="42" spans="1:29" ht="15">
      <c r="A42" s="471"/>
      <c r="B42" s="421" t="s">
        <v>2668</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38"/>
      <c r="M42" s="1129"/>
      <c r="N42" s="1129"/>
      <c r="O42" s="1129"/>
      <c r="P42" s="3238"/>
      <c r="Q42" s="1808" t="str">
        <f t="shared" si="11"/>
        <v>内部装修</v>
      </c>
      <c r="R42" s="772" t="s">
        <v>17</v>
      </c>
      <c r="S42" s="773">
        <f t="shared" si="12"/>
        <v>100</v>
      </c>
      <c r="T42" s="772" t="s">
        <v>17</v>
      </c>
      <c r="U42" s="773">
        <f t="shared" si="13"/>
        <v>100</v>
      </c>
      <c r="V42" s="772" t="s">
        <v>17</v>
      </c>
      <c r="W42" s="773">
        <f t="shared" si="14"/>
        <v>100</v>
      </c>
      <c r="X42" s="1811"/>
      <c r="Y42" s="3240"/>
      <c r="Z42" s="1812" t="str">
        <f t="shared" si="15"/>
        <v>内部装修</v>
      </c>
      <c r="AA42" s="1809">
        <f t="shared" si="3"/>
        <v>1</v>
      </c>
      <c r="AB42" s="1809">
        <f t="shared" si="4"/>
        <v>1</v>
      </c>
      <c r="AC42" s="1809">
        <f t="shared" si="5"/>
        <v>1</v>
      </c>
    </row>
    <row r="43" spans="1:29" ht="15">
      <c r="A43" s="471"/>
      <c r="B43" s="421" t="s">
        <v>2576</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38"/>
      <c r="M43" s="1129"/>
      <c r="N43" s="1129"/>
      <c r="O43" s="1129"/>
      <c r="P43" s="3238"/>
      <c r="Q43" s="1808" t="str">
        <f t="shared" si="11"/>
        <v>内部装修维护情况</v>
      </c>
      <c r="R43" s="772" t="s">
        <v>17</v>
      </c>
      <c r="S43" s="773">
        <f t="shared" si="12"/>
        <v>100</v>
      </c>
      <c r="T43" s="772" t="s">
        <v>17</v>
      </c>
      <c r="U43" s="773">
        <f t="shared" si="13"/>
        <v>100</v>
      </c>
      <c r="V43" s="772" t="s">
        <v>17</v>
      </c>
      <c r="W43" s="773">
        <f t="shared" si="14"/>
        <v>100</v>
      </c>
      <c r="X43" s="1811"/>
      <c r="Y43" s="3240"/>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38"/>
      <c r="Q44" s="1793">
        <f t="shared" si="11"/>
        <v>111</v>
      </c>
      <c r="R44" s="768" t="s">
        <v>17</v>
      </c>
      <c r="S44" s="769">
        <f t="shared" si="12"/>
        <v>100</v>
      </c>
      <c r="T44" s="768" t="s">
        <v>17</v>
      </c>
      <c r="U44" s="769">
        <f t="shared" si="13"/>
        <v>100</v>
      </c>
      <c r="V44" s="768" t="s">
        <v>17</v>
      </c>
      <c r="W44" s="769">
        <f t="shared" si="14"/>
        <v>100</v>
      </c>
      <c r="X44" s="770"/>
      <c r="Y44" s="3240"/>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8"/>
      <c r="Q45" s="1808">
        <f t="shared" si="11"/>
        <v>111</v>
      </c>
      <c r="R45" s="772" t="s">
        <v>17</v>
      </c>
      <c r="S45" s="773">
        <f t="shared" si="12"/>
        <v>100</v>
      </c>
      <c r="T45" s="772" t="s">
        <v>17</v>
      </c>
      <c r="U45" s="773">
        <f t="shared" si="13"/>
        <v>100</v>
      </c>
      <c r="V45" s="772" t="s">
        <v>17</v>
      </c>
      <c r="W45" s="773">
        <f t="shared" si="14"/>
        <v>100</v>
      </c>
      <c r="X45" s="1811"/>
      <c r="Y45" s="3240"/>
      <c r="Z45" s="1812">
        <f t="shared" si="15"/>
        <v>111</v>
      </c>
      <c r="AA45" s="1809">
        <f t="shared" si="3"/>
        <v>1</v>
      </c>
      <c r="AB45" s="1809">
        <f t="shared" si="4"/>
        <v>1</v>
      </c>
      <c r="AC45" s="1809">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9"/>
      <c r="Q46" s="1808">
        <f t="shared" si="11"/>
        <v>111</v>
      </c>
      <c r="R46" s="772" t="s">
        <v>17</v>
      </c>
      <c r="S46" s="773">
        <f t="shared" si="12"/>
        <v>100</v>
      </c>
      <c r="T46" s="772" t="s">
        <v>17</v>
      </c>
      <c r="U46" s="773">
        <f t="shared" si="13"/>
        <v>100</v>
      </c>
      <c r="V46" s="772" t="s">
        <v>17</v>
      </c>
      <c r="W46" s="773">
        <f t="shared" si="14"/>
        <v>100</v>
      </c>
      <c r="X46" s="1811"/>
      <c r="Y46" s="3241"/>
      <c r="Z46" s="1812">
        <f t="shared" si="15"/>
        <v>111</v>
      </c>
      <c r="AA46" s="1809">
        <f t="shared" si="3"/>
        <v>1</v>
      </c>
      <c r="AB46" s="1809">
        <f t="shared" si="4"/>
        <v>1</v>
      </c>
      <c r="AC46" s="1809">
        <f t="shared" si="5"/>
        <v>1</v>
      </c>
    </row>
    <row r="47" spans="1:29" ht="15">
      <c r="A47" s="478" t="s">
        <v>2577</v>
      </c>
      <c r="B47" s="479"/>
      <c r="C47" s="1405" t="s">
        <v>1</v>
      </c>
      <c r="D47" s="1406"/>
      <c r="E47" s="1407"/>
      <c r="F47" s="1408"/>
      <c r="G47" s="1409"/>
      <c r="H47" s="1410"/>
      <c r="I47" s="1407"/>
      <c r="J47" s="1410"/>
      <c r="K47" s="781"/>
      <c r="L47" s="1141"/>
      <c r="M47" s="1142"/>
      <c r="N47" s="1129"/>
      <c r="O47" s="1142"/>
      <c r="P47" s="3242" t="str">
        <f>A47</f>
        <v>成交单价（元/平方米）</v>
      </c>
      <c r="Q47" s="3242"/>
      <c r="R47" s="3204">
        <f>E47</f>
        <v>0</v>
      </c>
      <c r="S47" s="3204"/>
      <c r="T47" s="3204">
        <f>G47</f>
        <v>0</v>
      </c>
      <c r="U47" s="3204"/>
      <c r="V47" s="3204">
        <f>I47</f>
        <v>0</v>
      </c>
      <c r="W47" s="3204"/>
      <c r="X47" s="757"/>
      <c r="Y47" s="779"/>
      <c r="Z47" s="757"/>
      <c r="AA47" s="757"/>
      <c r="AB47" s="757"/>
      <c r="AC47" s="757"/>
    </row>
    <row r="48" spans="1:29" ht="15.75" thickBot="1">
      <c r="A48" s="485" t="s">
        <v>2669</v>
      </c>
      <c r="B48" s="486"/>
      <c r="C48" s="1411" t="e">
        <f>R49</f>
        <v>#DIV/0!</v>
      </c>
      <c r="D48" s="1412"/>
      <c r="E48" s="1413" t="e">
        <f>R48</f>
        <v>#DIV/0!</v>
      </c>
      <c r="F48" s="1413"/>
      <c r="G48" s="1411" t="e">
        <f>T48</f>
        <v>#DIV/0!</v>
      </c>
      <c r="H48" s="1412"/>
      <c r="I48" s="1413" t="e">
        <f>V48</f>
        <v>#DIV/0!</v>
      </c>
      <c r="J48" s="1412"/>
      <c r="K48" s="782"/>
      <c r="L48" s="1141"/>
      <c r="M48" s="1142"/>
      <c r="N48" s="1129"/>
      <c r="O48" s="1142"/>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1" t="s">
        <v>2670</v>
      </c>
      <c r="B49" s="492"/>
      <c r="C49" s="1415" t="e">
        <f>R49</f>
        <v>#DIV/0!</v>
      </c>
      <c r="D49" s="1415"/>
      <c r="E49" s="1415"/>
      <c r="F49" s="1415"/>
      <c r="G49" s="1415"/>
      <c r="H49" s="1415"/>
      <c r="I49" s="1415"/>
      <c r="J49" s="1415"/>
      <c r="K49" s="783"/>
      <c r="L49" s="1141"/>
      <c r="M49" s="1142"/>
      <c r="N49" s="1129"/>
      <c r="O49" s="1142"/>
      <c r="P49" s="3244" t="str">
        <f>A49</f>
        <v>估价对象XX用房的比较价值（楼面单价，元/平方米）</v>
      </c>
      <c r="Q49" s="3245"/>
      <c r="R49" s="3246" t="e">
        <f>IF(F1="售价",ROUND(AVERAGE(R48:V48),0),ROUND(AVERAGE(R48:V48),1))</f>
        <v>#DIV/0!</v>
      </c>
      <c r="S49" s="3246"/>
      <c r="T49" s="3246"/>
      <c r="U49" s="3246"/>
      <c r="V49" s="3246"/>
      <c r="W49" s="324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8"/>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8"/>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9"/>
      <c r="Q57" s="2670"/>
      <c r="R57" s="757"/>
      <c r="S57" s="757"/>
      <c r="T57" s="757"/>
      <c r="U57" s="757"/>
      <c r="V57" s="757"/>
      <c r="W57" s="757"/>
      <c r="X57" s="757"/>
      <c r="Y57" s="757"/>
      <c r="Z57" s="757"/>
      <c r="AA57" s="757"/>
      <c r="AB57" s="757"/>
      <c r="AC57" s="757"/>
    </row>
    <row r="58" spans="1:29" s="507" customFormat="1" ht="15">
      <c r="A58" s="504" t="s">
        <v>2548</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30"/>
    </row>
    <row r="60" spans="1:29" s="116" customFormat="1" ht="15.75" thickBot="1">
      <c r="A60" s="514" t="s">
        <v>2585</v>
      </c>
      <c r="B60" s="515"/>
      <c r="C60" s="516"/>
      <c r="D60" s="517"/>
      <c r="E60" s="517"/>
      <c r="F60" s="517"/>
      <c r="G60" s="517"/>
      <c r="H60" s="517"/>
      <c r="I60" s="517"/>
      <c r="J60" s="517"/>
      <c r="K60" s="517"/>
      <c r="L60" s="517"/>
      <c r="M60" s="518"/>
      <c r="N60" s="517"/>
      <c r="O60" s="518"/>
      <c r="P60" s="2630"/>
      <c r="Q60" s="503"/>
    </row>
    <row r="61" spans="1:29" s="116" customFormat="1" ht="15">
      <c r="A61" s="520" t="s">
        <v>2550</v>
      </c>
      <c r="B61" s="509"/>
      <c r="C61" s="521" t="s">
        <v>2652</v>
      </c>
      <c r="D61" s="522"/>
      <c r="E61" s="522"/>
      <c r="F61" s="522"/>
      <c r="G61" s="522"/>
      <c r="H61" s="522"/>
      <c r="I61" s="522"/>
      <c r="J61" s="522"/>
      <c r="K61" s="522"/>
      <c r="L61" s="523"/>
      <c r="M61" s="524"/>
      <c r="N61" s="1149"/>
      <c r="O61" s="1149"/>
      <c r="P61" s="2631"/>
      <c r="Q61" s="503"/>
    </row>
    <row r="62" spans="1:29" s="116" customFormat="1" ht="15.75" thickBot="1">
      <c r="A62" s="520"/>
      <c r="B62" s="509"/>
      <c r="C62" s="510">
        <v>100</v>
      </c>
      <c r="D62" s="511"/>
      <c r="E62" s="511"/>
      <c r="F62" s="511"/>
      <c r="G62" s="511"/>
      <c r="H62" s="511"/>
      <c r="I62" s="511"/>
      <c r="J62" s="511"/>
      <c r="K62" s="511"/>
      <c r="L62" s="511"/>
      <c r="M62" s="513"/>
      <c r="N62" s="1149"/>
      <c r="O62" s="1149"/>
      <c r="P62" s="2630"/>
      <c r="Q62" s="503"/>
    </row>
    <row r="63" spans="1:29">
      <c r="A63" s="526" t="s">
        <v>2588</v>
      </c>
      <c r="B63" s="527" t="s">
        <v>2554</v>
      </c>
      <c r="C63" s="528">
        <f>C9</f>
        <v>0</v>
      </c>
      <c r="D63" s="529"/>
      <c r="E63" s="529"/>
      <c r="F63" s="529"/>
      <c r="G63" s="529"/>
      <c r="H63" s="529"/>
      <c r="I63" s="529"/>
      <c r="J63" s="529"/>
      <c r="K63" s="530"/>
      <c r="L63" s="531"/>
      <c r="M63" s="532"/>
      <c r="N63" s="1150"/>
      <c r="O63" s="1150"/>
      <c r="P63" s="2632"/>
      <c r="Q63" s="503"/>
    </row>
    <row r="64" spans="1:29" ht="15.75" thickBot="1">
      <c r="A64" s="533"/>
      <c r="B64" s="534"/>
      <c r="C64" s="535">
        <v>100</v>
      </c>
      <c r="D64" s="535"/>
      <c r="E64" s="535"/>
      <c r="F64" s="535"/>
      <c r="G64" s="535"/>
      <c r="H64" s="535"/>
      <c r="I64" s="535"/>
      <c r="J64" s="535"/>
      <c r="K64" s="535"/>
      <c r="L64" s="535"/>
      <c r="M64" s="536"/>
      <c r="N64" s="1151"/>
      <c r="O64" s="1151"/>
      <c r="P64" s="2632"/>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32"/>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2"/>
      <c r="Q67" s="503"/>
    </row>
    <row r="68" spans="1:17" ht="15">
      <c r="A68" s="533"/>
      <c r="B68" s="547"/>
      <c r="C68" s="548"/>
      <c r="D68" s="548"/>
      <c r="E68" s="548"/>
      <c r="F68" s="548"/>
      <c r="G68" s="548"/>
      <c r="H68" s="548"/>
      <c r="I68" s="548"/>
      <c r="J68" s="548"/>
      <c r="K68" s="549"/>
      <c r="L68" s="550"/>
      <c r="M68" s="551"/>
      <c r="N68" s="1150"/>
      <c r="O68" s="1150"/>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2"/>
      <c r="Q69" s="503"/>
    </row>
    <row r="70" spans="1:17" s="470" customFormat="1" ht="15.75" thickTop="1">
      <c r="A70" s="552"/>
      <c r="B70" s="537">
        <f>B12</f>
        <v>111</v>
      </c>
      <c r="C70" s="553"/>
      <c r="D70" s="553"/>
      <c r="E70" s="553"/>
      <c r="F70" s="553"/>
      <c r="G70" s="553"/>
      <c r="H70" s="554"/>
      <c r="I70" s="554"/>
      <c r="J70" s="554"/>
      <c r="K70" s="554"/>
      <c r="L70" s="555"/>
      <c r="M70" s="556"/>
      <c r="N70" s="1152"/>
      <c r="O70" s="1152"/>
      <c r="P70" s="2633"/>
      <c r="Q70" s="558"/>
    </row>
    <row r="71" spans="1:17" s="470" customFormat="1" ht="15.75" thickBot="1">
      <c r="A71" s="552"/>
      <c r="B71" s="542"/>
      <c r="C71" s="559"/>
      <c r="D71" s="535"/>
      <c r="E71" s="535"/>
      <c r="F71" s="535"/>
      <c r="G71" s="535"/>
      <c r="H71" s="535"/>
      <c r="I71" s="535"/>
      <c r="J71" s="535"/>
      <c r="K71" s="535"/>
      <c r="L71" s="535"/>
      <c r="M71" s="536"/>
      <c r="N71" s="1151"/>
      <c r="O71" s="1151"/>
      <c r="P71" s="2633"/>
      <c r="Q71" s="558"/>
    </row>
    <row r="72" spans="1:17" s="470" customFormat="1" ht="15.75" thickTop="1">
      <c r="A72" s="552"/>
      <c r="B72" s="537">
        <f>B13</f>
        <v>111</v>
      </c>
      <c r="C72" s="553"/>
      <c r="D72" s="553"/>
      <c r="E72" s="553"/>
      <c r="F72" s="553"/>
      <c r="G72" s="553"/>
      <c r="H72" s="554"/>
      <c r="I72" s="554"/>
      <c r="J72" s="554"/>
      <c r="K72" s="554"/>
      <c r="L72" s="555"/>
      <c r="M72" s="556"/>
      <c r="N72" s="1152"/>
      <c r="O72" s="1152"/>
      <c r="P72" s="2634"/>
      <c r="Q72" s="560"/>
    </row>
    <row r="73" spans="1:17" s="470" customFormat="1" ht="15.75" thickBot="1">
      <c r="A73" s="552"/>
      <c r="B73" s="542"/>
      <c r="C73" s="559"/>
      <c r="D73" s="535"/>
      <c r="E73" s="535"/>
      <c r="F73" s="535"/>
      <c r="G73" s="559"/>
      <c r="H73" s="561"/>
      <c r="I73" s="561"/>
      <c r="J73" s="561"/>
      <c r="K73" s="561"/>
      <c r="L73" s="561"/>
      <c r="M73" s="562"/>
      <c r="N73" s="1152"/>
      <c r="O73" s="1152"/>
      <c r="P73" s="2633"/>
      <c r="Q73" s="558"/>
    </row>
    <row r="74" spans="1:17" s="470" customFormat="1" ht="15.75" thickTop="1">
      <c r="A74" s="552"/>
      <c r="B74" s="545">
        <f>B14</f>
        <v>111</v>
      </c>
      <c r="C74" s="553"/>
      <c r="D74" s="553"/>
      <c r="E74" s="553"/>
      <c r="F74" s="553"/>
      <c r="G74" s="522"/>
      <c r="H74" s="563"/>
      <c r="I74" s="563"/>
      <c r="J74" s="563"/>
      <c r="K74" s="563"/>
      <c r="L74" s="564"/>
      <c r="M74" s="565"/>
      <c r="N74" s="1152"/>
      <c r="O74" s="1152"/>
      <c r="P74" s="2635"/>
      <c r="Q74" s="558"/>
    </row>
    <row r="75" spans="1:17" s="470" customFormat="1" ht="15.75" thickBot="1">
      <c r="A75" s="567"/>
      <c r="B75" s="568"/>
      <c r="C75" s="569"/>
      <c r="D75" s="569"/>
      <c r="E75" s="569"/>
      <c r="F75" s="569"/>
      <c r="G75" s="569"/>
      <c r="H75" s="570"/>
      <c r="I75" s="570"/>
      <c r="J75" s="570"/>
      <c r="K75" s="570"/>
      <c r="L75" s="570"/>
      <c r="M75" s="571"/>
      <c r="N75" s="1152"/>
      <c r="O75" s="1152"/>
      <c r="P75" s="2633"/>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2"/>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2"/>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2"/>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32"/>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2"/>
      <c r="Q85" s="503"/>
    </row>
    <row r="86" spans="1:17" s="116" customFormat="1" ht="15.75" thickTop="1">
      <c r="A86" s="578"/>
      <c r="B86" s="537" t="s">
        <v>2680</v>
      </c>
      <c r="C86" s="553"/>
      <c r="D86" s="553"/>
      <c r="E86" s="553"/>
      <c r="F86" s="553"/>
      <c r="G86" s="553"/>
      <c r="H86" s="553"/>
      <c r="I86" s="553"/>
      <c r="J86" s="553"/>
      <c r="K86" s="553"/>
      <c r="L86" s="579"/>
      <c r="M86" s="580"/>
      <c r="N86" s="1149"/>
      <c r="O86" s="1149"/>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49"/>
      <c r="O88" s="1149"/>
      <c r="P88" s="2632"/>
      <c r="Q88" s="503"/>
    </row>
    <row r="89" spans="1:17" s="116" customFormat="1" ht="15.75" thickBot="1">
      <c r="A89" s="578"/>
      <c r="B89" s="542"/>
      <c r="C89" s="559"/>
      <c r="D89" s="535"/>
      <c r="E89" s="535"/>
      <c r="F89" s="535"/>
      <c r="G89" s="535"/>
      <c r="H89" s="535"/>
      <c r="I89" s="535"/>
      <c r="J89" s="535"/>
      <c r="K89" s="535"/>
      <c r="L89" s="535"/>
      <c r="M89" s="535"/>
      <c r="N89" s="1151"/>
      <c r="O89" s="1151"/>
      <c r="P89" s="263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33"/>
      <c r="Q91" s="558"/>
    </row>
    <row r="92" spans="1:17" ht="15.75" thickTop="1">
      <c r="A92" s="533"/>
      <c r="B92" s="537" t="str">
        <f>B28</f>
        <v>楼层</v>
      </c>
      <c r="C92" s="553"/>
      <c r="D92" s="553"/>
      <c r="E92" s="553"/>
      <c r="F92" s="553"/>
      <c r="G92" s="553"/>
      <c r="H92" s="553"/>
      <c r="I92" s="553"/>
      <c r="J92" s="553"/>
      <c r="K92" s="553"/>
      <c r="L92" s="579"/>
      <c r="M92" s="580"/>
      <c r="N92" s="1150"/>
      <c r="O92" s="1150"/>
      <c r="P92" s="2632"/>
      <c r="Q92" s="503"/>
    </row>
    <row r="93" spans="1:17" ht="15.75" thickBot="1">
      <c r="A93" s="533"/>
      <c r="B93" s="542"/>
      <c r="C93" s="535"/>
      <c r="D93" s="535"/>
      <c r="E93" s="535"/>
      <c r="F93" s="535"/>
      <c r="G93" s="535"/>
      <c r="H93" s="535"/>
      <c r="I93" s="535"/>
      <c r="J93" s="535"/>
      <c r="K93" s="535"/>
      <c r="L93" s="535"/>
      <c r="M93" s="536"/>
      <c r="N93" s="1151"/>
      <c r="O93" s="1151"/>
      <c r="P93" s="2632"/>
      <c r="Q93" s="503"/>
    </row>
    <row r="94" spans="1:17" ht="15.75" thickTop="1">
      <c r="A94" s="533"/>
      <c r="B94" s="537">
        <f>B29</f>
        <v>111</v>
      </c>
      <c r="C94" s="553"/>
      <c r="D94" s="553"/>
      <c r="E94" s="553"/>
      <c r="F94" s="553"/>
      <c r="G94" s="582"/>
      <c r="H94" s="582"/>
      <c r="I94" s="582"/>
      <c r="J94" s="582"/>
      <c r="K94" s="583"/>
      <c r="L94" s="584"/>
      <c r="M94" s="585"/>
      <c r="N94" s="1150"/>
      <c r="O94" s="1150"/>
      <c r="P94" s="2632"/>
      <c r="Q94" s="503"/>
    </row>
    <row r="95" spans="1:17" ht="15.75" thickBot="1">
      <c r="A95" s="533"/>
      <c r="B95" s="542"/>
      <c r="C95" s="559"/>
      <c r="D95" s="535"/>
      <c r="E95" s="535"/>
      <c r="F95" s="535"/>
      <c r="G95" s="535"/>
      <c r="H95" s="535"/>
      <c r="I95" s="535"/>
      <c r="J95" s="535"/>
      <c r="K95" s="535"/>
      <c r="L95" s="535"/>
      <c r="M95" s="536"/>
      <c r="N95" s="1151"/>
      <c r="O95" s="1151"/>
      <c r="P95" s="2632"/>
      <c r="Q95" s="503"/>
    </row>
    <row r="96" spans="1:17" ht="15.75" thickTop="1">
      <c r="A96" s="533"/>
      <c r="B96" s="537">
        <f>B30</f>
        <v>111</v>
      </c>
      <c r="C96" s="553"/>
      <c r="D96" s="553"/>
      <c r="E96" s="553"/>
      <c r="F96" s="553"/>
      <c r="G96" s="582"/>
      <c r="H96" s="582"/>
      <c r="I96" s="582"/>
      <c r="J96" s="582"/>
      <c r="K96" s="583"/>
      <c r="L96" s="584"/>
      <c r="M96" s="585"/>
      <c r="N96" s="1150"/>
      <c r="O96" s="1150"/>
      <c r="P96" s="2632"/>
      <c r="Q96" s="503"/>
    </row>
    <row r="97" spans="1:17" ht="15.75" thickBot="1">
      <c r="A97" s="533"/>
      <c r="B97" s="542"/>
      <c r="C97" s="559"/>
      <c r="D97" s="535"/>
      <c r="E97" s="535"/>
      <c r="F97" s="535"/>
      <c r="G97" s="535"/>
      <c r="H97" s="535"/>
      <c r="I97" s="535"/>
      <c r="J97" s="535"/>
      <c r="K97" s="535"/>
      <c r="L97" s="535"/>
      <c r="M97" s="536"/>
      <c r="N97" s="1151"/>
      <c r="O97" s="1151"/>
      <c r="P97" s="2632"/>
      <c r="Q97" s="503"/>
    </row>
    <row r="98" spans="1:17" ht="15.75" thickTop="1">
      <c r="A98" s="533"/>
      <c r="B98" s="545">
        <f>B31</f>
        <v>111</v>
      </c>
      <c r="C98" s="553"/>
      <c r="D98" s="553"/>
      <c r="E98" s="553"/>
      <c r="F98" s="553"/>
      <c r="G98" s="586"/>
      <c r="H98" s="586"/>
      <c r="I98" s="586"/>
      <c r="J98" s="586"/>
      <c r="K98" s="587"/>
      <c r="L98" s="588"/>
      <c r="M98" s="589"/>
      <c r="N98" s="1150"/>
      <c r="O98" s="1150"/>
      <c r="P98" s="2632"/>
      <c r="Q98" s="503"/>
    </row>
    <row r="99" spans="1:17" ht="15.75" thickBot="1">
      <c r="A99" s="2638"/>
      <c r="B99" s="568"/>
      <c r="C99" s="569"/>
      <c r="D99" s="569"/>
      <c r="E99" s="569"/>
      <c r="F99" s="569"/>
      <c r="G99" s="590"/>
      <c r="H99" s="590"/>
      <c r="I99" s="590"/>
      <c r="J99" s="590"/>
      <c r="K99" s="590"/>
      <c r="L99" s="590"/>
      <c r="M99" s="591"/>
      <c r="N99" s="1151"/>
      <c r="O99" s="1151"/>
      <c r="P99" s="2632"/>
      <c r="Q99" s="503"/>
    </row>
    <row r="100" spans="1:17">
      <c r="A100" s="526" t="s">
        <v>2563</v>
      </c>
      <c r="B100" s="527" t="s">
        <v>2681</v>
      </c>
      <c r="C100" s="529"/>
      <c r="D100" s="529"/>
      <c r="E100" s="529"/>
      <c r="F100" s="529"/>
      <c r="G100" s="529"/>
      <c r="H100" s="529"/>
      <c r="I100" s="529"/>
      <c r="J100" s="529"/>
      <c r="K100" s="530"/>
      <c r="L100" s="531"/>
      <c r="M100" s="532"/>
      <c r="N100" s="1150"/>
      <c r="O100" s="1150"/>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32"/>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32"/>
      <c r="Q102" s="503"/>
    </row>
    <row r="103" spans="1:17" s="470" customFormat="1">
      <c r="A103" s="592"/>
      <c r="B103" s="593"/>
      <c r="C103" s="594"/>
      <c r="D103" s="594"/>
      <c r="E103" s="594"/>
      <c r="F103" s="594"/>
      <c r="G103" s="594"/>
      <c r="H103" s="594"/>
      <c r="I103" s="594"/>
      <c r="J103" s="595"/>
      <c r="K103" s="595"/>
      <c r="L103" s="596"/>
      <c r="M103" s="597"/>
      <c r="N103" s="1152"/>
      <c r="O103" s="1152"/>
      <c r="P103" s="263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3"/>
      <c r="Q104" s="558"/>
    </row>
    <row r="105" spans="1:17" ht="15" thickTop="1">
      <c r="A105" s="598"/>
      <c r="B105" s="537" t="s">
        <v>2614</v>
      </c>
      <c r="C105" s="553"/>
      <c r="D105" s="553"/>
      <c r="E105" s="582"/>
      <c r="F105" s="582"/>
      <c r="G105" s="582"/>
      <c r="H105" s="582"/>
      <c r="I105" s="582"/>
      <c r="J105" s="582"/>
      <c r="K105" s="583"/>
      <c r="L105" s="584"/>
      <c r="M105" s="585"/>
      <c r="N105" s="1150"/>
      <c r="O105" s="1150"/>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32"/>
      <c r="Q106" s="503"/>
    </row>
    <row r="107" spans="1:17" ht="15" thickTop="1">
      <c r="A107" s="598"/>
      <c r="B107" s="537" t="s">
        <v>2616</v>
      </c>
      <c r="C107" s="553"/>
      <c r="D107" s="553"/>
      <c r="E107" s="553"/>
      <c r="F107" s="582"/>
      <c r="G107" s="582"/>
      <c r="H107" s="582"/>
      <c r="I107" s="582"/>
      <c r="J107" s="582"/>
      <c r="K107" s="583"/>
      <c r="L107" s="584"/>
      <c r="M107" s="585"/>
      <c r="N107" s="1150"/>
      <c r="O107" s="1150"/>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2"/>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2"/>
      <c r="Q111" s="503"/>
    </row>
    <row r="112" spans="1:17" s="470" customFormat="1" ht="15" thickTop="1">
      <c r="A112" s="592"/>
      <c r="B112" s="537" t="s">
        <v>2618</v>
      </c>
      <c r="C112" s="553"/>
      <c r="D112" s="553"/>
      <c r="E112" s="553"/>
      <c r="F112" s="553"/>
      <c r="G112" s="553"/>
      <c r="H112" s="582"/>
      <c r="I112" s="582"/>
      <c r="J112" s="582"/>
      <c r="K112" s="583"/>
      <c r="L112" s="584"/>
      <c r="M112" s="585"/>
      <c r="N112" s="1152"/>
      <c r="O112" s="1152"/>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33"/>
      <c r="Q113" s="558"/>
    </row>
    <row r="114" spans="1:17" ht="15" thickTop="1">
      <c r="A114" s="598"/>
      <c r="B114" s="537" t="s">
        <v>2682</v>
      </c>
      <c r="C114" s="553"/>
      <c r="D114" s="553"/>
      <c r="E114" s="582"/>
      <c r="F114" s="582"/>
      <c r="G114" s="582"/>
      <c r="H114" s="582"/>
      <c r="I114" s="582"/>
      <c r="J114" s="582"/>
      <c r="K114" s="583"/>
      <c r="L114" s="584"/>
      <c r="M114" s="585"/>
      <c r="N114" s="1150"/>
      <c r="O114" s="1150"/>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32"/>
      <c r="Q115" s="503"/>
    </row>
    <row r="116" spans="1:17" ht="15" thickTop="1">
      <c r="A116" s="598"/>
      <c r="B116" s="537" t="s">
        <v>2683</v>
      </c>
      <c r="C116" s="553"/>
      <c r="D116" s="553"/>
      <c r="E116" s="553"/>
      <c r="F116" s="553"/>
      <c r="G116" s="553"/>
      <c r="H116" s="582"/>
      <c r="I116" s="582"/>
      <c r="J116" s="582"/>
      <c r="K116" s="583"/>
      <c r="L116" s="584"/>
      <c r="M116" s="585"/>
      <c r="N116" s="1150"/>
      <c r="O116" s="1150"/>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2"/>
      <c r="Q117" s="503"/>
    </row>
    <row r="118" spans="1:17" ht="15" thickTop="1">
      <c r="A118" s="598"/>
      <c r="B118" s="537" t="s">
        <v>2684</v>
      </c>
      <c r="C118" s="626"/>
      <c r="D118" s="626"/>
      <c r="E118" s="626"/>
      <c r="F118" s="626"/>
      <c r="G118" s="626"/>
      <c r="H118" s="554"/>
      <c r="I118" s="554"/>
      <c r="J118" s="554"/>
      <c r="K118" s="554"/>
      <c r="L118" s="555"/>
      <c r="M118" s="556"/>
      <c r="N118" s="1150"/>
      <c r="O118" s="1150"/>
      <c r="P118" s="2632"/>
      <c r="Q118" s="503"/>
    </row>
    <row r="119" spans="1:17" ht="15.75" thickBot="1">
      <c r="A119" s="533"/>
      <c r="B119" s="542"/>
      <c r="C119" s="559"/>
      <c r="D119" s="535"/>
      <c r="E119" s="535"/>
      <c r="F119" s="535"/>
      <c r="G119" s="535"/>
      <c r="H119" s="535"/>
      <c r="I119" s="535"/>
      <c r="J119" s="535"/>
      <c r="K119" s="535"/>
      <c r="L119" s="535"/>
      <c r="M119" s="536"/>
      <c r="N119" s="1151"/>
      <c r="O119" s="1151"/>
      <c r="P119" s="2632"/>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33"/>
      <c r="Q121" s="558"/>
    </row>
    <row r="122" spans="1:17" ht="15" thickTop="1">
      <c r="A122" s="598"/>
      <c r="B122" s="537" t="s">
        <v>2620</v>
      </c>
      <c r="C122" s="553"/>
      <c r="D122" s="553"/>
      <c r="E122" s="553"/>
      <c r="F122" s="582"/>
      <c r="G122" s="582"/>
      <c r="H122" s="582"/>
      <c r="I122" s="582"/>
      <c r="J122" s="582"/>
      <c r="K122" s="583"/>
      <c r="L122" s="584"/>
      <c r="M122" s="585"/>
      <c r="N122" s="1150"/>
      <c r="O122" s="1150"/>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32"/>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3"/>
      <c r="Q127" s="558"/>
    </row>
    <row r="128" spans="1:17" ht="15" thickTop="1">
      <c r="A128" s="598"/>
      <c r="B128" s="537">
        <f>B45</f>
        <v>111</v>
      </c>
      <c r="C128" s="553"/>
      <c r="D128" s="553"/>
      <c r="E128" s="553"/>
      <c r="F128" s="553"/>
      <c r="G128" s="582"/>
      <c r="H128" s="582"/>
      <c r="I128" s="582"/>
      <c r="J128" s="582"/>
      <c r="K128" s="583"/>
      <c r="L128" s="584"/>
      <c r="M128" s="585"/>
      <c r="N128" s="1150"/>
      <c r="O128" s="1150"/>
      <c r="P128" s="2632"/>
      <c r="Q128" s="503"/>
    </row>
    <row r="129" spans="1:17" ht="15.75" thickBot="1">
      <c r="A129" s="533"/>
      <c r="B129" s="542"/>
      <c r="C129" s="559"/>
      <c r="D129" s="535"/>
      <c r="E129" s="535"/>
      <c r="F129" s="535"/>
      <c r="G129" s="535"/>
      <c r="H129" s="535"/>
      <c r="I129" s="535"/>
      <c r="J129" s="535"/>
      <c r="K129" s="535"/>
      <c r="L129" s="535"/>
      <c r="M129" s="536"/>
      <c r="N129" s="1151"/>
      <c r="O129" s="1151"/>
      <c r="P129" s="2632"/>
      <c r="Q129" s="503"/>
    </row>
    <row r="130" spans="1:17" ht="15" thickTop="1">
      <c r="A130" s="598"/>
      <c r="B130" s="545">
        <f>B46</f>
        <v>111</v>
      </c>
      <c r="C130" s="553"/>
      <c r="D130" s="553"/>
      <c r="E130" s="553"/>
      <c r="F130" s="553"/>
      <c r="G130" s="586"/>
      <c r="H130" s="586"/>
      <c r="I130" s="586"/>
      <c r="J130" s="586"/>
      <c r="K130" s="522"/>
      <c r="L130" s="523"/>
      <c r="M130" s="589"/>
      <c r="N130" s="1150"/>
      <c r="O130" s="1150"/>
      <c r="P130" s="2632"/>
      <c r="Q130" s="503"/>
    </row>
    <row r="131" spans="1:17" ht="15.75" thickBot="1">
      <c r="A131" s="2638"/>
      <c r="B131" s="568"/>
      <c r="C131" s="569"/>
      <c r="D131" s="569"/>
      <c r="E131" s="569"/>
      <c r="F131" s="569"/>
      <c r="G131" s="590"/>
      <c r="H131" s="590"/>
      <c r="I131" s="590"/>
      <c r="J131" s="590"/>
      <c r="K131" s="590"/>
      <c r="L131" s="590"/>
      <c r="M131" s="591"/>
      <c r="N131" s="1151"/>
      <c r="O131" s="1151"/>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2" zoomScale="90" zoomScaleNormal="90" workbookViewId="0">
      <selection activeCell="J27" sqref="J27"/>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71" t="s">
        <v>2686</v>
      </c>
      <c r="C1" s="1618" t="s">
        <v>2530</v>
      </c>
      <c r="D1" s="1619">
        <v>2301</v>
      </c>
      <c r="E1" s="1628"/>
      <c r="F1" s="2586" t="s">
        <v>3098</v>
      </c>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f>IF(C2="——",ROUND(C50*D3/10000,0),ROUND(C50*D3/10000,0)-D2)</f>
        <v>374</v>
      </c>
      <c r="C2" s="2588" t="s">
        <v>70</v>
      </c>
      <c r="D2" s="1363" t="e">
        <f ca="1">SUMIF(INDIRECT("'"&amp;F2&amp;"'"&amp;"!A:A"),"承租人权益价值",INDIRECT("'"&amp;F2&amp;"'"&amp;"!c:c"))</f>
        <v>#REF!</v>
      </c>
      <c r="E2" s="2589" t="s">
        <v>2328</v>
      </c>
      <c r="F2" s="2590"/>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f>IF(C2="——",C50,ROUND(B2*10000/D3,0))</f>
        <v>12615</v>
      </c>
      <c r="C3" s="399" t="s">
        <v>2644</v>
      </c>
      <c r="D3" s="398">
        <f>IF(D1="",'数据-汇总表'!E3,SUMIF('数据-汇总表'!$C19:$C33,D1,'数据-汇总表'!$E19:$E33))</f>
        <v>296.32</v>
      </c>
      <c r="E3" s="2665"/>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54" t="s">
        <v>2651</v>
      </c>
      <c r="Q4" s="3255"/>
      <c r="R4" s="3248" t="s">
        <v>2647</v>
      </c>
      <c r="S4" s="3249"/>
      <c r="T4" s="3248" t="s">
        <v>2648</v>
      </c>
      <c r="U4" s="3249"/>
      <c r="V4" s="3258" t="s">
        <v>2649</v>
      </c>
      <c r="W4" s="3258"/>
      <c r="X4" s="2672"/>
      <c r="Y4" s="3248" t="s">
        <v>2651</v>
      </c>
      <c r="Z4" s="3249"/>
      <c r="AA4" s="3247" t="s">
        <v>2647</v>
      </c>
      <c r="AB4" s="3247" t="s">
        <v>2648</v>
      </c>
      <c r="AC4" s="3251" t="s">
        <v>2649</v>
      </c>
    </row>
    <row r="5" spans="1:29" ht="15">
      <c r="A5" s="403"/>
      <c r="B5" s="404"/>
      <c r="C5" s="3250" t="s">
        <v>3114</v>
      </c>
      <c r="D5" s="3214"/>
      <c r="E5" s="3211" t="str">
        <f>C5</f>
        <v>奥克斯</v>
      </c>
      <c r="F5" s="3212"/>
      <c r="G5" s="3213" t="str">
        <f>C5</f>
        <v>奥克斯</v>
      </c>
      <c r="H5" s="3214"/>
      <c r="I5" s="3213" t="str">
        <f>C5</f>
        <v>奥克斯</v>
      </c>
      <c r="J5" s="3214"/>
      <c r="K5" s="609"/>
      <c r="L5" s="1128"/>
      <c r="M5" s="1129"/>
      <c r="N5" s="1129"/>
      <c r="O5" s="1129"/>
      <c r="P5" s="3256"/>
      <c r="Q5" s="3227"/>
      <c r="R5" s="3209"/>
      <c r="S5" s="3210"/>
      <c r="T5" s="3209"/>
      <c r="U5" s="3210"/>
      <c r="V5" s="3204"/>
      <c r="W5" s="3204"/>
      <c r="X5" s="1811"/>
      <c r="Y5" s="3209"/>
      <c r="Z5" s="3210"/>
      <c r="AA5" s="3202"/>
      <c r="AB5" s="3202"/>
      <c r="AC5" s="3252"/>
    </row>
    <row r="6" spans="1:29" ht="15.75" thickBot="1">
      <c r="A6" s="405"/>
      <c r="B6" s="406"/>
      <c r="C6" s="3215" t="s">
        <v>2546</v>
      </c>
      <c r="D6" s="3216"/>
      <c r="E6" s="3217" t="s">
        <v>2546</v>
      </c>
      <c r="F6" s="3218"/>
      <c r="G6" s="3215" t="s">
        <v>2546</v>
      </c>
      <c r="H6" s="3216"/>
      <c r="I6" s="3215" t="s">
        <v>2546</v>
      </c>
      <c r="J6" s="3216"/>
      <c r="K6" s="609" t="s">
        <v>2547</v>
      </c>
      <c r="L6" s="1128"/>
      <c r="M6" s="1129"/>
      <c r="N6" s="1129"/>
      <c r="O6" s="1129"/>
      <c r="P6" s="3257"/>
      <c r="Q6" s="3229"/>
      <c r="R6" s="3209"/>
      <c r="S6" s="3210"/>
      <c r="T6" s="3230"/>
      <c r="U6" s="3231"/>
      <c r="V6" s="3204"/>
      <c r="W6" s="3204"/>
      <c r="X6" s="1811"/>
      <c r="Y6" s="3230"/>
      <c r="Z6" s="3231"/>
      <c r="AA6" s="3203"/>
      <c r="AB6" s="3203"/>
      <c r="AC6" s="3253"/>
    </row>
    <row r="7" spans="1:29" s="116" customFormat="1" ht="15.75" thickBot="1">
      <c r="A7" s="407" t="s">
        <v>2548</v>
      </c>
      <c r="B7" s="408"/>
      <c r="C7" s="409">
        <f>'数据-取费表'!B2</f>
        <v>43656</v>
      </c>
      <c r="D7" s="410">
        <v>100</v>
      </c>
      <c r="E7" s="411">
        <f>C7</f>
        <v>43656</v>
      </c>
      <c r="F7" s="412">
        <f>SUMIF(59:59,YEAR(E7)&amp;"-"&amp;MONTH(E7),60:60)</f>
        <v>100</v>
      </c>
      <c r="G7" s="411">
        <f>C7</f>
        <v>43656</v>
      </c>
      <c r="H7" s="410">
        <f>SUMIF(59:59,YEAR(G7)&amp;"-"&amp;MONTH(G7),60:60)</f>
        <v>100</v>
      </c>
      <c r="I7" s="411">
        <f>C7</f>
        <v>43656</v>
      </c>
      <c r="J7" s="410">
        <f>SUMIF(59:59,YEAR(I7)&amp;"-"&amp;MONTH(I7),60:60)</f>
        <v>100</v>
      </c>
      <c r="K7" s="610"/>
      <c r="L7" s="1130"/>
      <c r="M7" s="1131"/>
      <c r="N7" s="1131"/>
      <c r="O7" s="1131"/>
      <c r="P7" s="3259" t="s">
        <v>2549</v>
      </c>
      <c r="Q7" s="3232"/>
      <c r="R7" s="768" t="s">
        <v>17</v>
      </c>
      <c r="S7" s="769">
        <f t="shared" ref="S7:S15" si="0">F7</f>
        <v>100</v>
      </c>
      <c r="T7" s="768" t="s">
        <v>17</v>
      </c>
      <c r="U7" s="769">
        <f t="shared" ref="U7:U15" si="1">H7</f>
        <v>100</v>
      </c>
      <c r="V7" s="768" t="s">
        <v>17</v>
      </c>
      <c r="W7" s="769">
        <f t="shared" ref="W7:W15" si="2">J7</f>
        <v>100</v>
      </c>
      <c r="X7" s="770"/>
      <c r="Y7" s="3205" t="s">
        <v>2549</v>
      </c>
      <c r="Z7" s="3206"/>
      <c r="AA7" s="771">
        <f>D7/F7</f>
        <v>1</v>
      </c>
      <c r="AB7" s="771">
        <f>D7/H7</f>
        <v>1</v>
      </c>
      <c r="AC7" s="2673">
        <f>D7/J7</f>
        <v>1</v>
      </c>
    </row>
    <row r="8" spans="1:29" s="116" customFormat="1" ht="15.75" thickBot="1">
      <c r="A8" s="407" t="s">
        <v>2550</v>
      </c>
      <c r="B8" s="408"/>
      <c r="C8" s="413" t="s">
        <v>2652</v>
      </c>
      <c r="D8" s="410">
        <v>100</v>
      </c>
      <c r="E8" s="413" t="s">
        <v>3061</v>
      </c>
      <c r="F8" s="412">
        <f>SUMIF(62:62,E8,63:63)-SUMIF(62:62,C8,63:63)+100</f>
        <v>100</v>
      </c>
      <c r="G8" s="413" t="s">
        <v>3061</v>
      </c>
      <c r="H8" s="410">
        <f>SUMIF(62:62,G8,63:63)-SUMIF(62:62,C8,63:63)+100</f>
        <v>100</v>
      </c>
      <c r="I8" s="413" t="s">
        <v>3061</v>
      </c>
      <c r="J8" s="410">
        <f>SUMIF(62:62,I8,63:63)-SUMIF(62:62,C8,63:63)+100</f>
        <v>100</v>
      </c>
      <c r="K8" s="610"/>
      <c r="L8" s="1130"/>
      <c r="M8" s="1131"/>
      <c r="N8" s="1131"/>
      <c r="O8" s="1131"/>
      <c r="P8" s="3259" t="s">
        <v>2552</v>
      </c>
      <c r="Q8" s="3206"/>
      <c r="R8" s="768" t="s">
        <v>17</v>
      </c>
      <c r="S8" s="769">
        <f t="shared" si="0"/>
        <v>100</v>
      </c>
      <c r="T8" s="768" t="s">
        <v>17</v>
      </c>
      <c r="U8" s="769">
        <f t="shared" si="1"/>
        <v>100</v>
      </c>
      <c r="V8" s="768" t="s">
        <v>17</v>
      </c>
      <c r="W8" s="769">
        <f t="shared" si="2"/>
        <v>100</v>
      </c>
      <c r="X8" s="770"/>
      <c r="Y8" s="3205" t="s">
        <v>2552</v>
      </c>
      <c r="Z8" s="3206"/>
      <c r="AA8" s="771">
        <f t="shared" ref="AA8:AA47" si="3">D8/F8</f>
        <v>1</v>
      </c>
      <c r="AB8" s="771">
        <f t="shared" ref="AB8:AB47" si="4">D8/H8</f>
        <v>1</v>
      </c>
      <c r="AC8" s="2673">
        <f t="shared" ref="AC8:AC47" si="5">D8/J8</f>
        <v>1</v>
      </c>
    </row>
    <row r="9" spans="1:29" s="116" customFormat="1">
      <c r="A9" s="414" t="s">
        <v>2553</v>
      </c>
      <c r="B9" s="70" t="s">
        <v>2554</v>
      </c>
      <c r="C9" s="2975" t="s">
        <v>3086</v>
      </c>
      <c r="D9" s="134">
        <v>100</v>
      </c>
      <c r="E9" s="418" t="s">
        <v>27</v>
      </c>
      <c r="F9" s="134">
        <f>SUMIF(64:64,E9,65:65)-SUMIF(64:64,C9,65:65)+100</f>
        <v>100</v>
      </c>
      <c r="G9" s="416" t="s">
        <v>27</v>
      </c>
      <c r="H9" s="134">
        <f>SUMIF(64:64,G9,65:65)-SUMIF(64:64,C9,65:65)+100</f>
        <v>100</v>
      </c>
      <c r="I9" s="416" t="s">
        <v>27</v>
      </c>
      <c r="J9" s="134">
        <f>SUMIF(64:64,I9,65:65)-SUMIF(64:64,C9,65:65)+100</f>
        <v>100</v>
      </c>
      <c r="K9" s="610"/>
      <c r="L9" s="1130"/>
      <c r="M9" s="1131"/>
      <c r="N9" s="1131"/>
      <c r="O9" s="1131"/>
      <c r="P9" s="3219"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2673">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2673">
        <f t="shared" si="5"/>
        <v>1</v>
      </c>
    </row>
    <row r="11" spans="1:29" ht="15">
      <c r="A11" s="427"/>
      <c r="B11" s="421" t="s">
        <v>2558</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c r="L11" s="1136"/>
      <c r="M11" s="1129"/>
      <c r="N11" s="1129"/>
      <c r="O11" s="1129"/>
      <c r="P11" s="3219"/>
      <c r="Q11" s="1793" t="str">
        <f t="shared" si="6"/>
        <v>容积率</v>
      </c>
      <c r="R11" s="768" t="s">
        <v>17</v>
      </c>
      <c r="S11" s="769">
        <f t="shared" si="0"/>
        <v>100</v>
      </c>
      <c r="T11" s="768" t="s">
        <v>17</v>
      </c>
      <c r="U11" s="769">
        <f t="shared" si="1"/>
        <v>100</v>
      </c>
      <c r="V11" s="768" t="s">
        <v>17</v>
      </c>
      <c r="W11" s="769">
        <f t="shared" si="2"/>
        <v>100</v>
      </c>
      <c r="X11" s="770"/>
      <c r="Y11" s="3051"/>
      <c r="Z11" s="54" t="str">
        <f t="shared" si="7"/>
        <v>容积率</v>
      </c>
      <c r="AA11" s="771">
        <f t="shared" si="3"/>
        <v>1</v>
      </c>
      <c r="AB11" s="771">
        <f t="shared" si="4"/>
        <v>1</v>
      </c>
      <c r="AC11" s="2673">
        <f t="shared" si="5"/>
        <v>1</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0"/>
      <c r="M12" s="1131"/>
      <c r="N12" s="1131"/>
      <c r="O12" s="1131"/>
      <c r="P12" s="3219"/>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38"/>
      <c r="M13" s="1129"/>
      <c r="N13" s="1129"/>
      <c r="O13" s="1129"/>
      <c r="P13" s="3219"/>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38"/>
      <c r="M14" s="1129"/>
      <c r="N14" s="1129"/>
      <c r="O14" s="1129"/>
      <c r="P14" s="3219"/>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2673">
        <f t="shared" si="5"/>
        <v>1</v>
      </c>
    </row>
    <row r="15" spans="1:29" ht="71.25">
      <c r="A15" s="439" t="s">
        <v>2559</v>
      </c>
      <c r="B15" s="628" t="s">
        <v>2687</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3" t="s">
        <v>2560</v>
      </c>
      <c r="Q15" s="1808" t="str">
        <f t="shared" si="6"/>
        <v>办公集聚程度</v>
      </c>
      <c r="R15" s="772" t="s">
        <v>17</v>
      </c>
      <c r="S15" s="773">
        <f t="shared" si="0"/>
        <v>100</v>
      </c>
      <c r="T15" s="772" t="s">
        <v>17</v>
      </c>
      <c r="U15" s="773">
        <f t="shared" si="1"/>
        <v>100</v>
      </c>
      <c r="V15" s="772" t="s">
        <v>17</v>
      </c>
      <c r="W15" s="773">
        <f t="shared" si="2"/>
        <v>100</v>
      </c>
      <c r="X15" s="1811"/>
      <c r="Y15" s="3235" t="s">
        <v>2560</v>
      </c>
      <c r="Z15" s="1812" t="str">
        <f t="shared" si="7"/>
        <v>办公集聚程度</v>
      </c>
      <c r="AA15" s="1809">
        <f t="shared" si="3"/>
        <v>1</v>
      </c>
      <c r="AB15" s="1809">
        <f t="shared" si="4"/>
        <v>1</v>
      </c>
      <c r="AC15" s="2676">
        <f t="shared" si="5"/>
        <v>1</v>
      </c>
    </row>
    <row r="16" spans="1:29" ht="15">
      <c r="A16" s="427"/>
      <c r="B16" s="629"/>
      <c r="C16" s="2613"/>
      <c r="D16" s="447"/>
      <c r="E16" s="446"/>
      <c r="F16" s="447"/>
      <c r="G16" s="2613"/>
      <c r="H16" s="449"/>
      <c r="I16" s="446"/>
      <c r="J16" s="447"/>
      <c r="K16" s="614"/>
      <c r="L16" s="1138"/>
      <c r="M16" s="1129"/>
      <c r="N16" s="1129"/>
      <c r="O16" s="1129"/>
      <c r="P16" s="3234"/>
      <c r="Q16" s="1808"/>
      <c r="R16" s="772"/>
      <c r="S16" s="773"/>
      <c r="T16" s="772"/>
      <c r="U16" s="773"/>
      <c r="V16" s="772"/>
      <c r="W16" s="773"/>
      <c r="X16" s="1811"/>
      <c r="Y16" s="3236"/>
      <c r="Z16" s="1812"/>
      <c r="AA16" s="1809">
        <v>1</v>
      </c>
      <c r="AB16" s="1809">
        <v>1</v>
      </c>
      <c r="AC16" s="2676">
        <v>1</v>
      </c>
    </row>
    <row r="17" spans="1:29" ht="71.25">
      <c r="A17" s="427"/>
      <c r="B17" s="630" t="s">
        <v>2095</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4"/>
      <c r="Q17" s="1808" t="str">
        <f>B17</f>
        <v>交通便捷度</v>
      </c>
      <c r="R17" s="772" t="s">
        <v>17</v>
      </c>
      <c r="S17" s="773">
        <f>F17</f>
        <v>100</v>
      </c>
      <c r="T17" s="772" t="s">
        <v>17</v>
      </c>
      <c r="U17" s="773">
        <f>H17</f>
        <v>100</v>
      </c>
      <c r="V17" s="772" t="s">
        <v>17</v>
      </c>
      <c r="W17" s="773">
        <f>J17</f>
        <v>100</v>
      </c>
      <c r="X17" s="1811"/>
      <c r="Y17" s="3236"/>
      <c r="Z17" s="1812" t="str">
        <f>Q17</f>
        <v>交通便捷度</v>
      </c>
      <c r="AA17" s="1809">
        <f t="shared" si="3"/>
        <v>1</v>
      </c>
      <c r="AB17" s="1809">
        <f t="shared" si="4"/>
        <v>1</v>
      </c>
      <c r="AC17" s="2676">
        <f t="shared" si="5"/>
        <v>1</v>
      </c>
    </row>
    <row r="18" spans="1:29" ht="15">
      <c r="A18" s="427"/>
      <c r="B18" s="631"/>
      <c r="C18" s="2678"/>
      <c r="D18" s="449"/>
      <c r="E18" s="2611"/>
      <c r="F18" s="449"/>
      <c r="G18" s="2612"/>
      <c r="H18" s="447"/>
      <c r="I18" s="2612"/>
      <c r="J18" s="447"/>
      <c r="K18" s="614"/>
      <c r="L18" s="1138"/>
      <c r="M18" s="1129"/>
      <c r="N18" s="1129"/>
      <c r="O18" s="1129"/>
      <c r="P18" s="3234"/>
      <c r="Q18" s="1808"/>
      <c r="R18" s="772"/>
      <c r="S18" s="773"/>
      <c r="T18" s="772"/>
      <c r="U18" s="773"/>
      <c r="V18" s="772"/>
      <c r="W18" s="773"/>
      <c r="X18" s="1811"/>
      <c r="Y18" s="3236"/>
      <c r="Z18" s="1812"/>
      <c r="AA18" s="1809">
        <v>1</v>
      </c>
      <c r="AB18" s="1809">
        <v>1</v>
      </c>
      <c r="AC18" s="2676">
        <v>1</v>
      </c>
    </row>
    <row r="19" spans="1:29" ht="42.75">
      <c r="A19" s="427"/>
      <c r="B19" s="630" t="s">
        <v>2688</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4"/>
      <c r="Q19" s="1808" t="str">
        <f>B19</f>
        <v>公共配套设施</v>
      </c>
      <c r="R19" s="772" t="s">
        <v>17</v>
      </c>
      <c r="S19" s="773">
        <f>F19</f>
        <v>100</v>
      </c>
      <c r="T19" s="772" t="s">
        <v>17</v>
      </c>
      <c r="U19" s="773">
        <f>H19</f>
        <v>100</v>
      </c>
      <c r="V19" s="772" t="s">
        <v>17</v>
      </c>
      <c r="W19" s="773">
        <f>J19</f>
        <v>100</v>
      </c>
      <c r="X19" s="1811"/>
      <c r="Y19" s="3236"/>
      <c r="Z19" s="1812" t="str">
        <f>Q19</f>
        <v>公共配套设施</v>
      </c>
      <c r="AA19" s="1809">
        <f t="shared" si="3"/>
        <v>1</v>
      </c>
      <c r="AB19" s="1809">
        <f t="shared" si="4"/>
        <v>1</v>
      </c>
      <c r="AC19" s="2676">
        <f t="shared" si="5"/>
        <v>1</v>
      </c>
    </row>
    <row r="20" spans="1:29" ht="15">
      <c r="A20" s="427"/>
      <c r="B20" s="631"/>
      <c r="C20" s="2613"/>
      <c r="D20" s="447"/>
      <c r="E20" s="2606"/>
      <c r="F20" s="447"/>
      <c r="G20" s="2607"/>
      <c r="H20" s="447"/>
      <c r="I20" s="2607"/>
      <c r="J20" s="447"/>
      <c r="K20" s="614"/>
      <c r="L20" s="1138"/>
      <c r="M20" s="1129"/>
      <c r="N20" s="1129"/>
      <c r="O20" s="1129"/>
      <c r="P20" s="3234"/>
      <c r="Q20" s="1808"/>
      <c r="R20" s="772"/>
      <c r="S20" s="773"/>
      <c r="T20" s="772"/>
      <c r="U20" s="773"/>
      <c r="V20" s="772"/>
      <c r="W20" s="773"/>
      <c r="X20" s="1811"/>
      <c r="Y20" s="3236"/>
      <c r="Z20" s="1812"/>
      <c r="AA20" s="1809">
        <v>1</v>
      </c>
      <c r="AB20" s="1809">
        <v>1</v>
      </c>
      <c r="AC20" s="2676">
        <v>1</v>
      </c>
    </row>
    <row r="21" spans="1:29" ht="28.5">
      <c r="A21" s="427"/>
      <c r="B21" s="632" t="s">
        <v>2689</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4"/>
      <c r="Q21" s="1808" t="str">
        <f>B21</f>
        <v>基础设施水平</v>
      </c>
      <c r="R21" s="772" t="s">
        <v>17</v>
      </c>
      <c r="S21" s="773">
        <f>F21</f>
        <v>100</v>
      </c>
      <c r="T21" s="772" t="s">
        <v>17</v>
      </c>
      <c r="U21" s="773">
        <f>H21</f>
        <v>100</v>
      </c>
      <c r="V21" s="772" t="s">
        <v>17</v>
      </c>
      <c r="W21" s="773">
        <f>J21</f>
        <v>100</v>
      </c>
      <c r="X21" s="1811"/>
      <c r="Y21" s="3236"/>
      <c r="Z21" s="1812" t="str">
        <f>Q21</f>
        <v>基础设施水平</v>
      </c>
      <c r="AA21" s="1809">
        <f t="shared" ref="AA21" si="8">D21/F21</f>
        <v>1</v>
      </c>
      <c r="AB21" s="1809">
        <f t="shared" ref="AB21" si="9">D21/H21</f>
        <v>1</v>
      </c>
      <c r="AC21" s="2676">
        <f t="shared" ref="AC21" si="10">D21/J21</f>
        <v>1</v>
      </c>
    </row>
    <row r="22" spans="1:29" ht="15">
      <c r="A22" s="427"/>
      <c r="B22" s="632"/>
      <c r="C22" s="2678"/>
      <c r="D22" s="447"/>
      <c r="E22" s="446"/>
      <c r="F22" s="447"/>
      <c r="G22" s="2613"/>
      <c r="H22" s="447"/>
      <c r="I22" s="2613"/>
      <c r="J22" s="447"/>
      <c r="K22" s="1381"/>
      <c r="L22" s="1138"/>
      <c r="M22" s="1129"/>
      <c r="N22" s="1129"/>
      <c r="O22" s="1129"/>
      <c r="P22" s="3234"/>
      <c r="Q22" s="1808"/>
      <c r="R22" s="772"/>
      <c r="S22" s="773"/>
      <c r="T22" s="772"/>
      <c r="U22" s="773"/>
      <c r="V22" s="772"/>
      <c r="W22" s="773"/>
      <c r="X22" s="1811"/>
      <c r="Y22" s="3236"/>
      <c r="Z22" s="1812"/>
      <c r="AA22" s="1809">
        <v>1</v>
      </c>
      <c r="AB22" s="1809">
        <v>1</v>
      </c>
      <c r="AC22" s="2676">
        <v>1</v>
      </c>
    </row>
    <row r="23" spans="1:29" ht="42.75">
      <c r="A23" s="427"/>
      <c r="B23" s="630" t="s">
        <v>2690</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4"/>
      <c r="Q23" s="1808" t="str">
        <f>B23</f>
        <v>环境质量</v>
      </c>
      <c r="R23" s="772" t="s">
        <v>17</v>
      </c>
      <c r="S23" s="773">
        <f>F23</f>
        <v>100</v>
      </c>
      <c r="T23" s="772" t="s">
        <v>17</v>
      </c>
      <c r="U23" s="773">
        <f>H23</f>
        <v>100</v>
      </c>
      <c r="V23" s="772" t="s">
        <v>17</v>
      </c>
      <c r="W23" s="773">
        <f>J23</f>
        <v>100</v>
      </c>
      <c r="X23" s="1811"/>
      <c r="Y23" s="3236"/>
      <c r="Z23" s="1812" t="str">
        <f>Q23</f>
        <v>环境质量</v>
      </c>
      <c r="AA23" s="1809">
        <f t="shared" si="3"/>
        <v>1</v>
      </c>
      <c r="AB23" s="1809">
        <f t="shared" si="4"/>
        <v>1</v>
      </c>
      <c r="AC23" s="2676">
        <f t="shared" si="5"/>
        <v>1</v>
      </c>
    </row>
    <row r="24" spans="1:29" ht="15">
      <c r="A24" s="427"/>
      <c r="B24" s="632"/>
      <c r="C24" s="2613"/>
      <c r="D24" s="447"/>
      <c r="E24" s="2606"/>
      <c r="F24" s="447"/>
      <c r="G24" s="2607"/>
      <c r="H24" s="447"/>
      <c r="I24" s="2607"/>
      <c r="J24" s="447"/>
      <c r="K24" s="614"/>
      <c r="L24" s="1138"/>
      <c r="M24" s="1129"/>
      <c r="N24" s="1129"/>
      <c r="O24" s="1129"/>
      <c r="P24" s="3234"/>
      <c r="Q24" s="1808"/>
      <c r="R24" s="772"/>
      <c r="S24" s="773"/>
      <c r="T24" s="772"/>
      <c r="U24" s="773"/>
      <c r="V24" s="772"/>
      <c r="W24" s="773"/>
      <c r="X24" s="1811"/>
      <c r="Y24" s="3236"/>
      <c r="Z24" s="1812"/>
      <c r="AA24" s="1809">
        <v>1</v>
      </c>
      <c r="AB24" s="1809">
        <v>1</v>
      </c>
      <c r="AC24" s="2676">
        <v>1</v>
      </c>
    </row>
    <row r="25" spans="1:29" ht="27">
      <c r="A25" s="403"/>
      <c r="B25" s="630" t="s">
        <v>2691</v>
      </c>
      <c r="C25" s="2617"/>
      <c r="D25" s="434">
        <v>100</v>
      </c>
      <c r="E25" s="433"/>
      <c r="F25" s="434">
        <f>SUMIF(87:87,E26,88:88)-SUMIF(87:87,C26,88:88)+100</f>
        <v>100</v>
      </c>
      <c r="G25" s="2617"/>
      <c r="H25" s="434">
        <f>SUMIF(87:87,G26,88:88)-SUMIF(87:87,C26,88:88)+100</f>
        <v>100</v>
      </c>
      <c r="I25" s="433"/>
      <c r="J25" s="434">
        <f>SUMIF(87:87,I26,88:88)-SUMIF(87:87,C26,88:88)+100</f>
        <v>100</v>
      </c>
      <c r="K25" s="613"/>
      <c r="L25" s="1138"/>
      <c r="M25" s="1129"/>
      <c r="N25" s="1129"/>
      <c r="O25" s="1129"/>
      <c r="P25" s="3234"/>
      <c r="Q25" s="1808" t="str">
        <f>B25</f>
        <v>毗邻道路的类型与等级</v>
      </c>
      <c r="R25" s="772" t="s">
        <v>17</v>
      </c>
      <c r="S25" s="773">
        <f>F25</f>
        <v>100</v>
      </c>
      <c r="T25" s="772" t="s">
        <v>17</v>
      </c>
      <c r="U25" s="773">
        <f>H25</f>
        <v>100</v>
      </c>
      <c r="V25" s="772" t="s">
        <v>17</v>
      </c>
      <c r="W25" s="773">
        <f>J25</f>
        <v>100</v>
      </c>
      <c r="X25" s="1811"/>
      <c r="Y25" s="3236"/>
      <c r="Z25" s="1812" t="str">
        <f>Q25</f>
        <v>毗邻道路的类型与等级</v>
      </c>
      <c r="AA25" s="1809">
        <f t="shared" si="3"/>
        <v>1</v>
      </c>
      <c r="AB25" s="1809">
        <f t="shared" si="4"/>
        <v>1</v>
      </c>
      <c r="AC25" s="2676">
        <f t="shared" si="5"/>
        <v>1</v>
      </c>
    </row>
    <row r="26" spans="1:29" ht="15">
      <c r="A26" s="403"/>
      <c r="B26" s="631"/>
      <c r="C26" s="633"/>
      <c r="D26" s="434"/>
      <c r="E26" s="615"/>
      <c r="F26" s="434"/>
      <c r="G26" s="633"/>
      <c r="H26" s="434"/>
      <c r="I26" s="615"/>
      <c r="J26" s="434"/>
      <c r="K26" s="614"/>
      <c r="L26" s="1138"/>
      <c r="M26" s="1129"/>
      <c r="N26" s="1129"/>
      <c r="O26" s="1129"/>
      <c r="P26" s="3234"/>
      <c r="Q26" s="1808"/>
      <c r="R26" s="772"/>
      <c r="S26" s="773"/>
      <c r="T26" s="772"/>
      <c r="U26" s="773"/>
      <c r="V26" s="772"/>
      <c r="W26" s="773"/>
      <c r="X26" s="1811"/>
      <c r="Y26" s="3236"/>
      <c r="Z26" s="1812"/>
      <c r="AA26" s="1809">
        <v>1</v>
      </c>
      <c r="AB26" s="1809">
        <v>1</v>
      </c>
      <c r="AC26" s="2676">
        <v>1</v>
      </c>
    </row>
    <row r="27" spans="1:29" ht="15">
      <c r="A27" s="427"/>
      <c r="B27" s="631" t="s">
        <v>2659</v>
      </c>
      <c r="C27" s="3319" t="s">
        <v>3088</v>
      </c>
      <c r="D27" s="434">
        <v>100</v>
      </c>
      <c r="E27" s="615" t="s">
        <v>3088</v>
      </c>
      <c r="F27" s="434">
        <f>SUMIF(89:89,E27,90:90)-SUMIF(89:89,C27,90:90)+100</f>
        <v>100</v>
      </c>
      <c r="G27" s="633" t="s">
        <v>3120</v>
      </c>
      <c r="H27" s="434">
        <f>SUMIF(89:89,G27,90:90)-SUMIF(89:89,C27,90:90)+100</f>
        <v>97</v>
      </c>
      <c r="I27" s="615" t="s">
        <v>3120</v>
      </c>
      <c r="J27" s="434">
        <f>SUMIF(89:89,I27,90:90)-SUMIF(89:89,C27,90:90)+100</f>
        <v>97</v>
      </c>
      <c r="K27" s="611">
        <v>3</v>
      </c>
      <c r="L27" s="1138"/>
      <c r="M27" s="1129"/>
      <c r="N27" s="1129"/>
      <c r="O27" s="1129"/>
      <c r="P27" s="3234"/>
      <c r="Q27" s="1808" t="str">
        <f t="shared" ref="Q27:Q47" si="11">B27</f>
        <v>楼层</v>
      </c>
      <c r="R27" s="772" t="s">
        <v>17</v>
      </c>
      <c r="S27" s="773">
        <f>F27</f>
        <v>100</v>
      </c>
      <c r="T27" s="772" t="s">
        <v>17</v>
      </c>
      <c r="U27" s="773">
        <f>H27</f>
        <v>97</v>
      </c>
      <c r="V27" s="772" t="s">
        <v>17</v>
      </c>
      <c r="W27" s="773">
        <f>J27</f>
        <v>97</v>
      </c>
      <c r="X27" s="1811"/>
      <c r="Y27" s="3236"/>
      <c r="Z27" s="1812" t="str">
        <f>Q27</f>
        <v>楼层</v>
      </c>
      <c r="AA27" s="1809">
        <f t="shared" si="3"/>
        <v>1</v>
      </c>
      <c r="AB27" s="1809">
        <f t="shared" si="4"/>
        <v>1.0309278350515463</v>
      </c>
      <c r="AC27" s="2676">
        <f t="shared" si="5"/>
        <v>1.0309278350515463</v>
      </c>
    </row>
    <row r="28" spans="1:29" s="116" customFormat="1" ht="15">
      <c r="A28" s="430"/>
      <c r="B28" s="630" t="s">
        <v>2692</v>
      </c>
      <c r="C28" s="2679"/>
      <c r="D28" s="461">
        <v>100</v>
      </c>
      <c r="E28" s="2667"/>
      <c r="F28" s="461">
        <f>SUMIF(91:91,E28,92:92)-SUMIF(91:91,C28,92:92)+100</f>
        <v>100</v>
      </c>
      <c r="G28" s="2679"/>
      <c r="H28" s="461">
        <f>SUMIF(91:91,G28,92:92)-SUMIF(91:91,C28,92:92)+100</f>
        <v>100</v>
      </c>
      <c r="I28" s="2667"/>
      <c r="J28" s="461">
        <f>SUMIF(91:91,I28,92:92)-SUMIF(91:91,C28,92:92)+100</f>
        <v>100</v>
      </c>
      <c r="K28" s="611">
        <v>1</v>
      </c>
      <c r="L28" s="1130"/>
      <c r="M28" s="1131"/>
      <c r="N28" s="1131"/>
      <c r="O28" s="1131"/>
      <c r="P28" s="3234"/>
      <c r="Q28" s="1793" t="str">
        <f t="shared" si="11"/>
        <v>朝向</v>
      </c>
      <c r="R28" s="768" t="s">
        <v>17</v>
      </c>
      <c r="S28" s="769">
        <f>F28</f>
        <v>100</v>
      </c>
      <c r="T28" s="768" t="s">
        <v>17</v>
      </c>
      <c r="U28" s="769">
        <f>H28</f>
        <v>100</v>
      </c>
      <c r="V28" s="768" t="s">
        <v>17</v>
      </c>
      <c r="W28" s="769">
        <f>J28</f>
        <v>100</v>
      </c>
      <c r="X28" s="770"/>
      <c r="Y28" s="3236"/>
      <c r="Z28" s="54" t="str">
        <f>Q28</f>
        <v>朝向</v>
      </c>
      <c r="AA28" s="1809">
        <f>D28/F28</f>
        <v>1</v>
      </c>
      <c r="AB28" s="1809">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38"/>
      <c r="M29" s="1129"/>
      <c r="N29" s="1129"/>
      <c r="O29" s="1129"/>
      <c r="P29" s="3234"/>
      <c r="Q29" s="1808">
        <f t="shared" si="11"/>
        <v>111</v>
      </c>
      <c r="R29" s="772" t="s">
        <v>17</v>
      </c>
      <c r="S29" s="773">
        <f t="shared" ref="S29:S47" si="12">F29</f>
        <v>100</v>
      </c>
      <c r="T29" s="772" t="s">
        <v>17</v>
      </c>
      <c r="U29" s="773">
        <f t="shared" ref="U29:U47" si="13">H29</f>
        <v>100</v>
      </c>
      <c r="V29" s="772" t="s">
        <v>17</v>
      </c>
      <c r="W29" s="773">
        <f t="shared" ref="W29:W47" si="14">J29</f>
        <v>100</v>
      </c>
      <c r="X29" s="1811"/>
      <c r="Y29" s="3236"/>
      <c r="Z29" s="1812">
        <f t="shared" ref="Z29:Z47" si="15">Q29</f>
        <v>111</v>
      </c>
      <c r="AA29" s="1809">
        <f t="shared" si="3"/>
        <v>1</v>
      </c>
      <c r="AB29" s="1809">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38"/>
      <c r="M30" s="1129"/>
      <c r="N30" s="1129"/>
      <c r="O30" s="1129"/>
      <c r="P30" s="3234"/>
      <c r="Q30" s="1808">
        <f t="shared" si="11"/>
        <v>111</v>
      </c>
      <c r="R30" s="772" t="s">
        <v>17</v>
      </c>
      <c r="S30" s="773">
        <f t="shared" si="12"/>
        <v>100</v>
      </c>
      <c r="T30" s="772" t="s">
        <v>17</v>
      </c>
      <c r="U30" s="773">
        <f t="shared" si="13"/>
        <v>100</v>
      </c>
      <c r="V30" s="772" t="s">
        <v>17</v>
      </c>
      <c r="W30" s="773">
        <f t="shared" si="14"/>
        <v>100</v>
      </c>
      <c r="X30" s="1811"/>
      <c r="Y30" s="3236"/>
      <c r="Z30" s="1812">
        <f t="shared" si="15"/>
        <v>111</v>
      </c>
      <c r="AA30" s="1809">
        <f t="shared" si="3"/>
        <v>1</v>
      </c>
      <c r="AB30" s="1809">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38"/>
      <c r="M31" s="1129"/>
      <c r="N31" s="1129"/>
      <c r="O31" s="1129"/>
      <c r="P31" s="3234"/>
      <c r="Q31" s="1808">
        <f t="shared" si="11"/>
        <v>111</v>
      </c>
      <c r="R31" s="772" t="s">
        <v>17</v>
      </c>
      <c r="S31" s="773">
        <f t="shared" si="12"/>
        <v>100</v>
      </c>
      <c r="T31" s="772" t="s">
        <v>17</v>
      </c>
      <c r="U31" s="773">
        <f t="shared" si="13"/>
        <v>100</v>
      </c>
      <c r="V31" s="772" t="s">
        <v>17</v>
      </c>
      <c r="W31" s="773">
        <f t="shared" si="14"/>
        <v>100</v>
      </c>
      <c r="X31" s="1811"/>
      <c r="Y31" s="3236"/>
      <c r="Z31" s="1812">
        <f t="shared" si="15"/>
        <v>111</v>
      </c>
      <c r="AA31" s="1809">
        <f t="shared" si="3"/>
        <v>1</v>
      </c>
      <c r="AB31" s="1809">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38"/>
      <c r="M32" s="1129"/>
      <c r="N32" s="1129"/>
      <c r="O32" s="1129"/>
      <c r="P32" s="3234"/>
      <c r="Q32" s="1808">
        <f t="shared" si="11"/>
        <v>111</v>
      </c>
      <c r="R32" s="772" t="s">
        <v>17</v>
      </c>
      <c r="S32" s="773">
        <f t="shared" si="12"/>
        <v>100</v>
      </c>
      <c r="T32" s="772" t="s">
        <v>17</v>
      </c>
      <c r="U32" s="773">
        <f t="shared" si="13"/>
        <v>100</v>
      </c>
      <c r="V32" s="772" t="s">
        <v>17</v>
      </c>
      <c r="W32" s="773">
        <f t="shared" si="14"/>
        <v>100</v>
      </c>
      <c r="X32" s="1811"/>
      <c r="Y32" s="3236"/>
      <c r="Z32" s="1812">
        <f t="shared" si="15"/>
        <v>111</v>
      </c>
      <c r="AA32" s="1809">
        <f t="shared" si="3"/>
        <v>1</v>
      </c>
      <c r="AB32" s="1809">
        <f t="shared" si="4"/>
        <v>1</v>
      </c>
      <c r="AC32" s="2676">
        <f t="shared" si="5"/>
        <v>1</v>
      </c>
    </row>
    <row r="33" spans="1:29" ht="15">
      <c r="A33" s="439" t="s">
        <v>2563</v>
      </c>
      <c r="B33" s="70" t="s">
        <v>2693</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38"/>
      <c r="M33" s="1129"/>
      <c r="N33" s="1129"/>
      <c r="O33" s="1129"/>
      <c r="P33" s="3237" t="s">
        <v>2565</v>
      </c>
      <c r="Q33" s="1808" t="str">
        <f t="shared" si="11"/>
        <v>建筑类型</v>
      </c>
      <c r="R33" s="772" t="s">
        <v>17</v>
      </c>
      <c r="S33" s="773">
        <f t="shared" si="12"/>
        <v>100</v>
      </c>
      <c r="T33" s="772" t="s">
        <v>17</v>
      </c>
      <c r="U33" s="773">
        <f t="shared" si="13"/>
        <v>100</v>
      </c>
      <c r="V33" s="772" t="s">
        <v>17</v>
      </c>
      <c r="W33" s="773">
        <f t="shared" si="14"/>
        <v>100</v>
      </c>
      <c r="X33" s="1811"/>
      <c r="Y33" s="3240" t="s">
        <v>2565</v>
      </c>
      <c r="Z33" s="1812" t="str">
        <f t="shared" si="15"/>
        <v>建筑类型</v>
      </c>
      <c r="AA33" s="1809">
        <f t="shared" si="3"/>
        <v>1</v>
      </c>
      <c r="AB33" s="1809">
        <f t="shared" si="4"/>
        <v>1</v>
      </c>
      <c r="AC33" s="2676">
        <f t="shared" si="5"/>
        <v>1</v>
      </c>
    </row>
    <row r="34" spans="1:29" s="470" customFormat="1" ht="15">
      <c r="A34" s="467"/>
      <c r="B34" s="3316" t="s">
        <v>2566</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6"/>
      <c r="M34" s="1139"/>
      <c r="N34" s="1139"/>
      <c r="O34" s="1139"/>
      <c r="P34" s="3238"/>
      <c r="Q34" s="774" t="str">
        <f t="shared" si="11"/>
        <v>项目建筑规模</v>
      </c>
      <c r="R34" s="775" t="s">
        <v>17</v>
      </c>
      <c r="S34" s="776">
        <f t="shared" si="12"/>
        <v>100</v>
      </c>
      <c r="T34" s="775" t="s">
        <v>17</v>
      </c>
      <c r="U34" s="776">
        <f t="shared" si="13"/>
        <v>100</v>
      </c>
      <c r="V34" s="775" t="s">
        <v>17</v>
      </c>
      <c r="W34" s="776">
        <f t="shared" si="14"/>
        <v>100</v>
      </c>
      <c r="X34" s="777"/>
      <c r="Y34" s="3240"/>
      <c r="Z34" s="778" t="str">
        <f t="shared" si="15"/>
        <v>项目建筑规模</v>
      </c>
      <c r="AA34" s="1809">
        <f t="shared" si="3"/>
        <v>1</v>
      </c>
      <c r="AB34" s="1809">
        <f t="shared" si="4"/>
        <v>1</v>
      </c>
      <c r="AC34" s="2676">
        <f t="shared" si="5"/>
        <v>1</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8"/>
      <c r="Q35" s="1808" t="str">
        <f t="shared" si="11"/>
        <v>建筑结构</v>
      </c>
      <c r="R35" s="772" t="s">
        <v>17</v>
      </c>
      <c r="S35" s="773">
        <f t="shared" si="12"/>
        <v>100</v>
      </c>
      <c r="T35" s="772" t="s">
        <v>17</v>
      </c>
      <c r="U35" s="773">
        <f t="shared" si="13"/>
        <v>100</v>
      </c>
      <c r="V35" s="772" t="s">
        <v>17</v>
      </c>
      <c r="W35" s="773">
        <f t="shared" si="14"/>
        <v>100</v>
      </c>
      <c r="X35" s="1811"/>
      <c r="Y35" s="3240"/>
      <c r="Z35" s="1812" t="str">
        <f t="shared" si="15"/>
        <v>建筑结构</v>
      </c>
      <c r="AA35" s="1809">
        <f t="shared" si="3"/>
        <v>1</v>
      </c>
      <c r="AB35" s="1809">
        <f t="shared" si="4"/>
        <v>1</v>
      </c>
      <c r="AC35" s="2676">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8"/>
      <c r="Q36" s="1808" t="str">
        <f t="shared" si="11"/>
        <v>公共部分装修</v>
      </c>
      <c r="R36" s="772" t="s">
        <v>17</v>
      </c>
      <c r="S36" s="773">
        <f t="shared" si="12"/>
        <v>100</v>
      </c>
      <c r="T36" s="772" t="s">
        <v>17</v>
      </c>
      <c r="U36" s="773">
        <f t="shared" si="13"/>
        <v>100</v>
      </c>
      <c r="V36" s="772" t="s">
        <v>17</v>
      </c>
      <c r="W36" s="773">
        <f t="shared" si="14"/>
        <v>100</v>
      </c>
      <c r="X36" s="1811"/>
      <c r="Y36" s="3240"/>
      <c r="Z36" s="1812" t="str">
        <f t="shared" si="15"/>
        <v>公共部分装修</v>
      </c>
      <c r="AA36" s="1809">
        <f t="shared" si="3"/>
        <v>1</v>
      </c>
      <c r="AB36" s="1809">
        <f t="shared" si="4"/>
        <v>1</v>
      </c>
      <c r="AC36" s="2676">
        <f t="shared" si="5"/>
        <v>1</v>
      </c>
    </row>
    <row r="37" spans="1:29" ht="15">
      <c r="A37" s="471"/>
      <c r="B37" s="421" t="s">
        <v>2662</v>
      </c>
      <c r="C37" s="473">
        <f>'数据-取费表'!Y6</f>
        <v>0.88</v>
      </c>
      <c r="D37" s="434">
        <v>100</v>
      </c>
      <c r="E37" s="473">
        <f>C37</f>
        <v>0.88</v>
      </c>
      <c r="F37" s="460">
        <f>LOOKUP(E37,111:111,112:112)-LOOKUP(C37,111:111,112:112)+100</f>
        <v>100</v>
      </c>
      <c r="G37" s="473">
        <f>C37</f>
        <v>0.88</v>
      </c>
      <c r="H37" s="460">
        <f>LOOKUP(G37,111:111,112:112)-LOOKUP(C37,111:111,112:112)+100</f>
        <v>100</v>
      </c>
      <c r="I37" s="473">
        <f>C37</f>
        <v>0.88</v>
      </c>
      <c r="J37" s="434">
        <f>LOOKUP(I37,111:111,112:112)-LOOKUP(C37,111:111,112:112)+100</f>
        <v>100</v>
      </c>
      <c r="K37" s="611"/>
      <c r="L37" s="1138"/>
      <c r="M37" s="1129"/>
      <c r="N37" s="1129"/>
      <c r="O37" s="1129"/>
      <c r="P37" s="3238"/>
      <c r="Q37" s="1808" t="str">
        <f t="shared" si="11"/>
        <v>成新度</v>
      </c>
      <c r="R37" s="772" t="s">
        <v>17</v>
      </c>
      <c r="S37" s="773">
        <f t="shared" si="12"/>
        <v>100</v>
      </c>
      <c r="T37" s="772" t="s">
        <v>17</v>
      </c>
      <c r="U37" s="773">
        <f t="shared" si="13"/>
        <v>100</v>
      </c>
      <c r="V37" s="772" t="s">
        <v>17</v>
      </c>
      <c r="W37" s="773">
        <f t="shared" si="14"/>
        <v>100</v>
      </c>
      <c r="X37" s="1811"/>
      <c r="Y37" s="3240"/>
      <c r="Z37" s="1812" t="str">
        <f t="shared" si="15"/>
        <v>成新度</v>
      </c>
      <c r="AA37" s="1809">
        <f t="shared" si="3"/>
        <v>1</v>
      </c>
      <c r="AB37" s="1809">
        <f t="shared" si="4"/>
        <v>1</v>
      </c>
      <c r="AC37" s="2676">
        <f t="shared" si="5"/>
        <v>1</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8"/>
      <c r="Q38" s="1793" t="str">
        <f t="shared" si="11"/>
        <v>写字楼等级</v>
      </c>
      <c r="R38" s="768" t="s">
        <v>17</v>
      </c>
      <c r="S38" s="769">
        <f t="shared" si="12"/>
        <v>100</v>
      </c>
      <c r="T38" s="768" t="s">
        <v>17</v>
      </c>
      <c r="U38" s="769">
        <f t="shared" si="13"/>
        <v>100</v>
      </c>
      <c r="V38" s="768" t="s">
        <v>17</v>
      </c>
      <c r="W38" s="769">
        <f t="shared" si="14"/>
        <v>100</v>
      </c>
      <c r="X38" s="770"/>
      <c r="Y38" s="3240"/>
      <c r="Z38" s="54" t="str">
        <f t="shared" si="15"/>
        <v>写字楼等级</v>
      </c>
      <c r="AA38" s="771">
        <f t="shared" si="3"/>
        <v>1</v>
      </c>
      <c r="AB38" s="771">
        <f t="shared" si="4"/>
        <v>1</v>
      </c>
      <c r="AC38" s="2673">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8" t="s">
        <v>2565</v>
      </c>
      <c r="Q39" s="1808" t="str">
        <f t="shared" si="11"/>
        <v>物业管理</v>
      </c>
      <c r="R39" s="772" t="s">
        <v>17</v>
      </c>
      <c r="S39" s="773">
        <f t="shared" si="12"/>
        <v>100</v>
      </c>
      <c r="T39" s="772" t="s">
        <v>17</v>
      </c>
      <c r="U39" s="773">
        <f t="shared" si="13"/>
        <v>100</v>
      </c>
      <c r="V39" s="772" t="s">
        <v>17</v>
      </c>
      <c r="W39" s="773">
        <f t="shared" si="14"/>
        <v>100</v>
      </c>
      <c r="X39" s="1811"/>
      <c r="Y39" s="3240" t="s">
        <v>2565</v>
      </c>
      <c r="Z39" s="1812" t="str">
        <f t="shared" si="15"/>
        <v>物业管理</v>
      </c>
      <c r="AA39" s="1809">
        <f t="shared" si="3"/>
        <v>1</v>
      </c>
      <c r="AB39" s="1809">
        <f t="shared" si="4"/>
        <v>1</v>
      </c>
      <c r="AC39" s="2676">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8"/>
      <c r="Q40" s="1808" t="str">
        <f t="shared" si="11"/>
        <v>市政基础设施</v>
      </c>
      <c r="R40" s="772" t="s">
        <v>17</v>
      </c>
      <c r="S40" s="773">
        <f t="shared" si="12"/>
        <v>100</v>
      </c>
      <c r="T40" s="772" t="s">
        <v>17</v>
      </c>
      <c r="U40" s="773">
        <f t="shared" si="13"/>
        <v>100</v>
      </c>
      <c r="V40" s="772" t="s">
        <v>17</v>
      </c>
      <c r="W40" s="773">
        <f t="shared" si="14"/>
        <v>100</v>
      </c>
      <c r="X40" s="1811"/>
      <c r="Y40" s="3240"/>
      <c r="Z40" s="1812" t="str">
        <f t="shared" si="15"/>
        <v>市政基础设施</v>
      </c>
      <c r="AA40" s="1809">
        <f t="shared" si="3"/>
        <v>1</v>
      </c>
      <c r="AB40" s="1809">
        <f t="shared" si="4"/>
        <v>1</v>
      </c>
      <c r="AC40" s="2676">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8"/>
      <c r="Q41" s="1808" t="str">
        <f t="shared" si="11"/>
        <v>层高</v>
      </c>
      <c r="R41" s="772" t="s">
        <v>17</v>
      </c>
      <c r="S41" s="773">
        <f t="shared" si="12"/>
        <v>100</v>
      </c>
      <c r="T41" s="772" t="s">
        <v>17</v>
      </c>
      <c r="U41" s="773">
        <f t="shared" si="13"/>
        <v>100</v>
      </c>
      <c r="V41" s="772" t="s">
        <v>17</v>
      </c>
      <c r="W41" s="773">
        <f t="shared" si="14"/>
        <v>100</v>
      </c>
      <c r="X41" s="1811"/>
      <c r="Y41" s="3240"/>
      <c r="Z41" s="1812" t="str">
        <f t="shared" si="15"/>
        <v>层高</v>
      </c>
      <c r="AA41" s="1809">
        <f t="shared" si="3"/>
        <v>1</v>
      </c>
      <c r="AB41" s="1809">
        <f t="shared" si="4"/>
        <v>1</v>
      </c>
      <c r="AC41" s="2676">
        <f t="shared" si="5"/>
        <v>1</v>
      </c>
    </row>
    <row r="42" spans="1:29" s="470" customFormat="1" ht="15">
      <c r="A42" s="467"/>
      <c r="B42" s="1810" t="s">
        <v>2696</v>
      </c>
      <c r="C42" s="2979">
        <v>296.32</v>
      </c>
      <c r="D42" s="434">
        <v>100</v>
      </c>
      <c r="E42" s="433">
        <v>334</v>
      </c>
      <c r="F42" s="460">
        <f>SUMIF(121:121,E42,122:122)-SUMIF(121:121,C42,122:122)+100</f>
        <v>100</v>
      </c>
      <c r="G42" s="433">
        <v>300</v>
      </c>
      <c r="H42" s="434">
        <f>SUMIF(121:121,G42,122:122)-SUMIF(121:121,C42,122:122)+100</f>
        <v>100</v>
      </c>
      <c r="I42" s="433">
        <v>106</v>
      </c>
      <c r="J42" s="434">
        <f>SUMIF(121:121,I42,122:122)-SUMIF(121:121,C42,122:122)+100</f>
        <v>99</v>
      </c>
      <c r="K42" s="612"/>
      <c r="L42" s="1136"/>
      <c r="M42" s="1139"/>
      <c r="N42" s="1139"/>
      <c r="O42" s="1139"/>
      <c r="P42" s="3238"/>
      <c r="Q42" s="774" t="str">
        <f t="shared" si="11"/>
        <v>单套建筑面积</v>
      </c>
      <c r="R42" s="775" t="s">
        <v>17</v>
      </c>
      <c r="S42" s="776">
        <f t="shared" si="12"/>
        <v>100</v>
      </c>
      <c r="T42" s="775" t="s">
        <v>17</v>
      </c>
      <c r="U42" s="776">
        <f t="shared" si="13"/>
        <v>100</v>
      </c>
      <c r="V42" s="775" t="s">
        <v>17</v>
      </c>
      <c r="W42" s="776">
        <f t="shared" si="14"/>
        <v>99</v>
      </c>
      <c r="X42" s="777"/>
      <c r="Y42" s="3240"/>
      <c r="Z42" s="778" t="str">
        <f t="shared" si="15"/>
        <v>单套建筑面积</v>
      </c>
      <c r="AA42" s="1809">
        <f t="shared" si="3"/>
        <v>1</v>
      </c>
      <c r="AB42" s="1809">
        <f t="shared" si="4"/>
        <v>1</v>
      </c>
      <c r="AC42" s="2676">
        <f t="shared" si="5"/>
        <v>1.0101010101010102</v>
      </c>
    </row>
    <row r="43" spans="1:29" ht="15">
      <c r="A43" s="471"/>
      <c r="B43" s="421" t="s">
        <v>2668</v>
      </c>
      <c r="C43" s="459" t="s">
        <v>3072</v>
      </c>
      <c r="D43" s="434">
        <v>100</v>
      </c>
      <c r="E43" s="459" t="s">
        <v>3072</v>
      </c>
      <c r="F43" s="460">
        <f>SUMIF(123:123,E43,124:124)-SUMIF(123:123,C43,124:124)+100</f>
        <v>100</v>
      </c>
      <c r="G43" s="459" t="s">
        <v>3072</v>
      </c>
      <c r="H43" s="434">
        <f>SUMIF(123:123,G43,124:124)-SUMIF(123:123,C43,124:124)+100</f>
        <v>100</v>
      </c>
      <c r="I43" s="459" t="s">
        <v>3072</v>
      </c>
      <c r="J43" s="434">
        <f>SUMIF(123:123,I43,124:124)-SUMIF(123:123,C43,124:124)+100</f>
        <v>100</v>
      </c>
      <c r="K43" s="611">
        <v>1</v>
      </c>
      <c r="L43" s="1138"/>
      <c r="M43" s="1129"/>
      <c r="N43" s="1129"/>
      <c r="O43" s="1129"/>
      <c r="P43" s="3238"/>
      <c r="Q43" s="1808" t="str">
        <f t="shared" si="11"/>
        <v>内部装修</v>
      </c>
      <c r="R43" s="772" t="s">
        <v>17</v>
      </c>
      <c r="S43" s="773">
        <f t="shared" si="12"/>
        <v>100</v>
      </c>
      <c r="T43" s="772" t="s">
        <v>17</v>
      </c>
      <c r="U43" s="773">
        <f t="shared" si="13"/>
        <v>100</v>
      </c>
      <c r="V43" s="772" t="s">
        <v>17</v>
      </c>
      <c r="W43" s="773">
        <f t="shared" si="14"/>
        <v>100</v>
      </c>
      <c r="X43" s="1811"/>
      <c r="Y43" s="3240"/>
      <c r="Z43" s="1812" t="str">
        <f t="shared" si="15"/>
        <v>内部装修</v>
      </c>
      <c r="AA43" s="1809">
        <f t="shared" si="3"/>
        <v>1</v>
      </c>
      <c r="AB43" s="1809">
        <f t="shared" si="4"/>
        <v>1</v>
      </c>
      <c r="AC43" s="2676">
        <f t="shared" si="5"/>
        <v>1</v>
      </c>
    </row>
    <row r="44" spans="1:29" ht="15">
      <c r="A44" s="471"/>
      <c r="B44" s="421" t="s">
        <v>2576</v>
      </c>
      <c r="C44" s="459" t="s">
        <v>3078</v>
      </c>
      <c r="D44" s="434">
        <v>100</v>
      </c>
      <c r="E44" s="2615" t="s">
        <v>3078</v>
      </c>
      <c r="F44" s="460">
        <f>SUMIF(125:125,E44,126:126)-SUMIF(125:125,C44,126:126)+100</f>
        <v>100</v>
      </c>
      <c r="G44" s="2615" t="s">
        <v>3078</v>
      </c>
      <c r="H44" s="434">
        <f>SUMIF(125:125,G44,126:126)-SUMIF(125:125,C44,126:126)+100</f>
        <v>100</v>
      </c>
      <c r="I44" s="2615" t="s">
        <v>3078</v>
      </c>
      <c r="J44" s="434">
        <f>SUMIF(125:125,I44,126:126)-SUMIF(125:125,C44,126:126)+100</f>
        <v>100</v>
      </c>
      <c r="K44" s="611">
        <v>2</v>
      </c>
      <c r="L44" s="1138"/>
      <c r="M44" s="1129"/>
      <c r="N44" s="1129"/>
      <c r="O44" s="1129"/>
      <c r="P44" s="3238"/>
      <c r="Q44" s="1808" t="str">
        <f t="shared" si="11"/>
        <v>内部装修维护情况</v>
      </c>
      <c r="R44" s="772" t="s">
        <v>17</v>
      </c>
      <c r="S44" s="773">
        <f t="shared" si="12"/>
        <v>100</v>
      </c>
      <c r="T44" s="772" t="s">
        <v>17</v>
      </c>
      <c r="U44" s="773">
        <f t="shared" si="13"/>
        <v>100</v>
      </c>
      <c r="V44" s="772" t="s">
        <v>17</v>
      </c>
      <c r="W44" s="773">
        <f t="shared" si="14"/>
        <v>100</v>
      </c>
      <c r="X44" s="1811"/>
      <c r="Y44" s="3240"/>
      <c r="Z44" s="1812" t="str">
        <f t="shared" si="15"/>
        <v>内部装修维护情况</v>
      </c>
      <c r="AA44" s="1809">
        <f t="shared" si="3"/>
        <v>1</v>
      </c>
      <c r="AB44" s="1809">
        <f t="shared" si="4"/>
        <v>1</v>
      </c>
      <c r="AC44" s="2676">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38"/>
      <c r="Q45" s="1793">
        <f t="shared" si="11"/>
        <v>111</v>
      </c>
      <c r="R45" s="768" t="s">
        <v>17</v>
      </c>
      <c r="S45" s="769">
        <f t="shared" si="12"/>
        <v>100</v>
      </c>
      <c r="T45" s="768" t="s">
        <v>17</v>
      </c>
      <c r="U45" s="769">
        <f t="shared" si="13"/>
        <v>100</v>
      </c>
      <c r="V45" s="768" t="s">
        <v>17</v>
      </c>
      <c r="W45" s="769">
        <f t="shared" si="14"/>
        <v>100</v>
      </c>
      <c r="X45" s="770"/>
      <c r="Y45" s="3240"/>
      <c r="Z45" s="54">
        <f t="shared" si="15"/>
        <v>111</v>
      </c>
      <c r="AA45" s="771">
        <f t="shared" si="3"/>
        <v>1</v>
      </c>
      <c r="AB45" s="771">
        <f t="shared" si="4"/>
        <v>1</v>
      </c>
      <c r="AC45" s="267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8"/>
      <c r="Q46" s="1808">
        <f t="shared" si="11"/>
        <v>111</v>
      </c>
      <c r="R46" s="772" t="s">
        <v>17</v>
      </c>
      <c r="S46" s="773">
        <f t="shared" si="12"/>
        <v>100</v>
      </c>
      <c r="T46" s="772" t="s">
        <v>17</v>
      </c>
      <c r="U46" s="773">
        <f t="shared" si="13"/>
        <v>100</v>
      </c>
      <c r="V46" s="772" t="s">
        <v>17</v>
      </c>
      <c r="W46" s="773">
        <f t="shared" si="14"/>
        <v>100</v>
      </c>
      <c r="X46" s="1811"/>
      <c r="Y46" s="3240"/>
      <c r="Z46" s="1812">
        <f t="shared" si="15"/>
        <v>111</v>
      </c>
      <c r="AA46" s="1809">
        <f t="shared" si="3"/>
        <v>1</v>
      </c>
      <c r="AB46" s="1809">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9"/>
      <c r="Q47" s="1808">
        <f t="shared" si="11"/>
        <v>111</v>
      </c>
      <c r="R47" s="772" t="s">
        <v>17</v>
      </c>
      <c r="S47" s="773">
        <f t="shared" si="12"/>
        <v>100</v>
      </c>
      <c r="T47" s="772" t="s">
        <v>17</v>
      </c>
      <c r="U47" s="773">
        <f t="shared" si="13"/>
        <v>100</v>
      </c>
      <c r="V47" s="772" t="s">
        <v>17</v>
      </c>
      <c r="W47" s="773">
        <f t="shared" si="14"/>
        <v>100</v>
      </c>
      <c r="X47" s="1811"/>
      <c r="Y47" s="3241"/>
      <c r="Z47" s="1812">
        <f t="shared" si="15"/>
        <v>111</v>
      </c>
      <c r="AA47" s="1809">
        <f t="shared" si="3"/>
        <v>1</v>
      </c>
      <c r="AB47" s="1809">
        <f t="shared" si="4"/>
        <v>1</v>
      </c>
      <c r="AC47" s="2676">
        <f t="shared" si="5"/>
        <v>1</v>
      </c>
    </row>
    <row r="48" spans="1:29" ht="15">
      <c r="A48" s="478" t="s">
        <v>2577</v>
      </c>
      <c r="B48" s="479"/>
      <c r="C48" s="1405" t="s">
        <v>1</v>
      </c>
      <c r="D48" s="1406"/>
      <c r="E48" s="1407">
        <v>13500</v>
      </c>
      <c r="F48" s="1408"/>
      <c r="G48" s="1409">
        <v>12200</v>
      </c>
      <c r="H48" s="1410"/>
      <c r="I48" s="1407">
        <v>11300</v>
      </c>
      <c r="J48" s="484"/>
      <c r="K48" s="781"/>
      <c r="L48" s="1141"/>
      <c r="M48" s="1129"/>
      <c r="N48" s="1129"/>
      <c r="O48" s="1129"/>
      <c r="P48" s="3219" t="str">
        <f>A48</f>
        <v>成交单价（元/平方米）</v>
      </c>
      <c r="Q48" s="3242"/>
      <c r="R48" s="3243">
        <f>E48</f>
        <v>13500</v>
      </c>
      <c r="S48" s="3243"/>
      <c r="T48" s="3243">
        <f>G48</f>
        <v>12200</v>
      </c>
      <c r="U48" s="3243"/>
      <c r="V48" s="3243">
        <f>I48</f>
        <v>11300</v>
      </c>
      <c r="W48" s="3243"/>
      <c r="X48" s="445"/>
      <c r="Y48" s="779"/>
      <c r="Z48" s="445"/>
      <c r="AA48" s="445"/>
      <c r="AB48" s="445"/>
      <c r="AC48" s="629"/>
    </row>
    <row r="49" spans="1:29" ht="15.75" thickBot="1">
      <c r="A49" s="485" t="s">
        <v>2669</v>
      </c>
      <c r="B49" s="486"/>
      <c r="C49" s="1411">
        <f>R50</f>
        <v>12615</v>
      </c>
      <c r="D49" s="1412"/>
      <c r="E49" s="1413">
        <f>R49</f>
        <v>13500</v>
      </c>
      <c r="F49" s="1413"/>
      <c r="G49" s="1411">
        <f>T49</f>
        <v>12577</v>
      </c>
      <c r="H49" s="1412"/>
      <c r="I49" s="1413">
        <f>V49</f>
        <v>11767</v>
      </c>
      <c r="J49" s="488"/>
      <c r="K49" s="782"/>
      <c r="L49" s="1141"/>
      <c r="M49" s="1129"/>
      <c r="N49" s="1129"/>
      <c r="O49" s="1129"/>
      <c r="P49" s="3219" t="str">
        <f>A49</f>
        <v>比较价值（元/平方米）</v>
      </c>
      <c r="Q49" s="3242"/>
      <c r="R49" s="3243">
        <f>IF(F1="售价",ROUND(PRODUCT(R48,AA7:AA47),0),ROUND(PRODUCT(R48,AA7:AA47),1))</f>
        <v>13500</v>
      </c>
      <c r="S49" s="3243"/>
      <c r="T49" s="3243">
        <f>IF(F1="售价",ROUND(PRODUCT(T48,AB7:AB47),0),ROUND(PRODUCT(T48,AB7:AB47),1))</f>
        <v>12577</v>
      </c>
      <c r="U49" s="3243"/>
      <c r="V49" s="3243">
        <f>IF(F1="售价",ROUND(PRODUCT(V48,AC7:AC47),0),ROUND(PRODUCT(V48,AC7:AC47),1))</f>
        <v>11767</v>
      </c>
      <c r="W49" s="3243"/>
      <c r="X49" s="445"/>
      <c r="Y49" s="445"/>
      <c r="Z49" s="445"/>
      <c r="AA49" s="445"/>
      <c r="AB49" s="445"/>
      <c r="AC49" s="629"/>
    </row>
    <row r="50" spans="1:29" ht="15.75" thickBot="1">
      <c r="A50" s="491" t="s">
        <v>2670</v>
      </c>
      <c r="B50" s="492"/>
      <c r="C50" s="1415">
        <f>R50</f>
        <v>12615</v>
      </c>
      <c r="D50" s="1415"/>
      <c r="E50" s="1415"/>
      <c r="F50" s="1415"/>
      <c r="G50" s="1415"/>
      <c r="H50" s="1415"/>
      <c r="I50" s="1415"/>
      <c r="J50" s="493"/>
      <c r="K50" s="783"/>
      <c r="L50" s="1141"/>
      <c r="M50" s="1129"/>
      <c r="N50" s="1129"/>
      <c r="O50" s="1129"/>
      <c r="P50" s="3260" t="str">
        <f>A50</f>
        <v>估价对象XX用房的比较价值（楼面单价，元/平方米）</v>
      </c>
      <c r="Q50" s="3261"/>
      <c r="R50" s="3262">
        <f>IF(F1="售价",ROUND(AVERAGE(R49:V49),0),ROUND(AVERAGE(R49:V49),1))</f>
        <v>12615</v>
      </c>
      <c r="S50" s="3262"/>
      <c r="T50" s="3262"/>
      <c r="U50" s="3262"/>
      <c r="V50" s="3262"/>
      <c r="W50" s="3262"/>
      <c r="X50" s="2656"/>
      <c r="Y50" s="2656"/>
      <c r="Z50" s="2656"/>
      <c r="AA50" s="2656"/>
      <c r="AB50" s="2656"/>
      <c r="AC50" s="265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f>IF(E48&lt;E49,E49/E48-1,E48/E49-1)</f>
        <v>0</v>
      </c>
      <c r="F53" s="499" t="str">
        <f>IF(OR(E53&gt;=0.3,E53&lt;=-0.3),"超过30%","")</f>
        <v/>
      </c>
      <c r="G53" s="498">
        <f>IF(G48&lt;G49,G49/G48-1,G48/G49-1)</f>
        <v>3.0901639344262266E-2</v>
      </c>
      <c r="H53" s="499" t="str">
        <f>IF(OR(G53&gt;=0.3,G53&lt;=-0.3),"超过30%","")</f>
        <v/>
      </c>
      <c r="I53" s="498">
        <f>IF(I48&lt;I49,I49/I48-1,I48/I49-1)</f>
        <v>4.1327433628318477E-2</v>
      </c>
      <c r="J53" s="499" t="str">
        <f>IF(OR(I53&gt;=0.3,I53&lt;=-0.3),"超过30%","")</f>
        <v/>
      </c>
      <c r="K53" s="1103"/>
      <c r="L53" s="1104"/>
      <c r="M53" s="1142"/>
      <c r="N53" s="1142"/>
      <c r="O53" s="1142"/>
    </row>
    <row r="54" spans="1:29" ht="13.5" customHeight="1">
      <c r="A54" s="1142"/>
      <c r="B54" s="1142"/>
      <c r="C54" s="496" t="s">
        <v>2672</v>
      </c>
      <c r="D54" s="500"/>
      <c r="E54" s="498">
        <f>IF(E49&lt;G49,G49/E49-1,E49/G49-1)</f>
        <v>7.338793034904989E-2</v>
      </c>
      <c r="F54" s="499" t="str">
        <f>IF(OR(E54&gt;=0.2,E54&lt;=-0.2),"超过20%","")</f>
        <v/>
      </c>
      <c r="G54" s="498">
        <f>IF(G49&lt;I49,I49/G49-1,G49/I49-1)</f>
        <v>6.8836576867510768E-2</v>
      </c>
      <c r="H54" s="499" t="str">
        <f>IF(OR(G54&gt;=0.2,G54&lt;=-0.2),"超过20%","")</f>
        <v/>
      </c>
      <c r="I54" s="498">
        <f>IF(I49&lt;E49,E49/I49-1,I49/E49-1)</f>
        <v>0.14727628112518065</v>
      </c>
      <c r="J54" s="499" t="str">
        <f>IF(OR(I54&gt;=0.2,I54&lt;=-0.2),"超过20%","")</f>
        <v/>
      </c>
      <c r="K54" s="1103"/>
      <c r="L54" s="1104"/>
      <c r="M54" s="1142"/>
      <c r="N54" s="1142"/>
      <c r="O54" s="1142"/>
    </row>
    <row r="55" spans="1:29" s="501" customFormat="1" ht="13.5" customHeight="1">
      <c r="A55" s="1143"/>
      <c r="B55" s="1143"/>
      <c r="C55" s="496" t="s">
        <v>2673</v>
      </c>
      <c r="D55" s="500"/>
      <c r="E55" s="498">
        <f>IF(E48&lt;G48,G48/E48-1,E48/G48-1)</f>
        <v>0.10655737704918034</v>
      </c>
      <c r="F55" s="499" t="str">
        <f>IF(OR(E55&gt;=0.3,E55&lt;=-0.3),"超过30%","")</f>
        <v/>
      </c>
      <c r="G55" s="498">
        <f>IF(G48&lt;I48,I48/G48-1,G48/I48-1)</f>
        <v>7.9646017699114946E-2</v>
      </c>
      <c r="H55" s="499" t="str">
        <f>IF(OR(G55&gt;=0.3,G55&lt;=-0.3),"超过30%","")</f>
        <v/>
      </c>
      <c r="I55" s="498">
        <f>IF(I48&lt;E48,E48/I48-1,I48/E48-1)</f>
        <v>0.19469026548672574</v>
      </c>
      <c r="J55" s="499" t="str">
        <f>IF(OR(I55&gt;=0.3,I55&lt;=-0.3),"超过30%","")</f>
        <v/>
      </c>
      <c r="K55" s="1146"/>
      <c r="L55" s="1147"/>
      <c r="M55" s="1143"/>
      <c r="N55" s="1143"/>
      <c r="O55" s="1143"/>
      <c r="P55" s="2682"/>
    </row>
    <row r="56" spans="1:29" s="501" customFormat="1">
      <c r="A56" s="1143"/>
      <c r="B56" s="1144"/>
      <c r="C56" s="1148"/>
      <c r="D56" s="1143"/>
      <c r="E56" s="1143"/>
      <c r="F56" s="1143"/>
      <c r="G56" s="1143"/>
      <c r="H56" s="1143"/>
      <c r="I56" s="1143"/>
      <c r="J56" s="1143"/>
      <c r="K56" s="1146"/>
      <c r="L56" s="1147"/>
      <c r="M56" s="1143"/>
      <c r="N56" s="1143"/>
      <c r="O56" s="1143"/>
      <c r="P56" s="2682"/>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83"/>
      <c r="Q58" s="503"/>
    </row>
    <row r="59" spans="1:29" s="507" customFormat="1" ht="15">
      <c r="A59" s="504" t="s">
        <v>2548</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84"/>
    </row>
    <row r="61" spans="1:29" s="116" customFormat="1" ht="15.75" thickBot="1">
      <c r="A61" s="514" t="s">
        <v>2585</v>
      </c>
      <c r="B61" s="515"/>
      <c r="C61" s="516">
        <v>100</v>
      </c>
      <c r="D61" s="517"/>
      <c r="E61" s="517"/>
      <c r="F61" s="517"/>
      <c r="G61" s="517"/>
      <c r="H61" s="517"/>
      <c r="I61" s="517"/>
      <c r="J61" s="517"/>
      <c r="K61" s="517"/>
      <c r="L61" s="517"/>
      <c r="M61" s="518"/>
      <c r="N61" s="517"/>
      <c r="O61" s="518"/>
      <c r="P61" s="2684"/>
      <c r="Q61" s="503"/>
    </row>
    <row r="62" spans="1:29" s="116" customFormat="1" ht="15">
      <c r="A62" s="520" t="s">
        <v>2550</v>
      </c>
      <c r="B62" s="509"/>
      <c r="C62" s="521" t="s">
        <v>2652</v>
      </c>
      <c r="D62" s="522"/>
      <c r="E62" s="522"/>
      <c r="F62" s="522"/>
      <c r="G62" s="522"/>
      <c r="H62" s="522"/>
      <c r="I62" s="522"/>
      <c r="J62" s="522"/>
      <c r="K62" s="522"/>
      <c r="L62" s="523"/>
      <c r="M62" s="524"/>
      <c r="N62" s="1149"/>
      <c r="O62" s="1149"/>
      <c r="P62" s="2685"/>
      <c r="Q62" s="503"/>
    </row>
    <row r="63" spans="1:29" s="116" customFormat="1" ht="15.75" thickBot="1">
      <c r="A63" s="520"/>
      <c r="B63" s="509"/>
      <c r="C63" s="510">
        <v>100</v>
      </c>
      <c r="D63" s="511"/>
      <c r="E63" s="511"/>
      <c r="F63" s="511"/>
      <c r="G63" s="511"/>
      <c r="H63" s="511"/>
      <c r="I63" s="511"/>
      <c r="J63" s="511"/>
      <c r="K63" s="511"/>
      <c r="L63" s="511"/>
      <c r="M63" s="513"/>
      <c r="N63" s="1149"/>
      <c r="O63" s="1149"/>
      <c r="P63" s="2684"/>
      <c r="Q63" s="503"/>
    </row>
    <row r="64" spans="1:29">
      <c r="A64" s="526" t="s">
        <v>2588</v>
      </c>
      <c r="B64" s="527" t="s">
        <v>2554</v>
      </c>
      <c r="C64" s="528" t="str">
        <f>C9</f>
        <v>办公</v>
      </c>
      <c r="D64" s="529"/>
      <c r="E64" s="529"/>
      <c r="F64" s="529"/>
      <c r="G64" s="529"/>
      <c r="H64" s="529"/>
      <c r="I64" s="529"/>
      <c r="J64" s="529"/>
      <c r="K64" s="530"/>
      <c r="L64" s="531"/>
      <c r="M64" s="532"/>
      <c r="N64" s="1150"/>
      <c r="O64" s="1150"/>
      <c r="P64" s="2686"/>
      <c r="Q64" s="503"/>
    </row>
    <row r="65" spans="1:17" ht="15.75" thickBot="1">
      <c r="A65" s="533"/>
      <c r="B65" s="534"/>
      <c r="C65" s="535">
        <v>100</v>
      </c>
      <c r="D65" s="535"/>
      <c r="E65" s="535"/>
      <c r="F65" s="535"/>
      <c r="G65" s="535"/>
      <c r="H65" s="535"/>
      <c r="I65" s="535"/>
      <c r="J65" s="535"/>
      <c r="K65" s="535"/>
      <c r="L65" s="535"/>
      <c r="M65" s="536"/>
      <c r="N65" s="1151"/>
      <c r="O65" s="1151"/>
      <c r="P65" s="2686"/>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6"/>
      <c r="Q67" s="503"/>
    </row>
    <row r="68" spans="1:17" ht="15.75" thickTop="1">
      <c r="A68" s="533"/>
      <c r="B68" s="545" t="s">
        <v>2558</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6"/>
      <c r="Q68" s="503"/>
    </row>
    <row r="69" spans="1:17" ht="15">
      <c r="A69" s="533"/>
      <c r="B69" s="547"/>
      <c r="C69" s="548">
        <v>1</v>
      </c>
      <c r="D69" s="548">
        <v>2</v>
      </c>
      <c r="E69" s="548">
        <v>3</v>
      </c>
      <c r="F69" s="548">
        <v>4</v>
      </c>
      <c r="G69" s="548"/>
      <c r="H69" s="548"/>
      <c r="I69" s="548"/>
      <c r="J69" s="548"/>
      <c r="K69" s="549"/>
      <c r="L69" s="550"/>
      <c r="M69" s="551"/>
      <c r="N69" s="1150"/>
      <c r="O69" s="1150"/>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6"/>
      <c r="Q70" s="503"/>
    </row>
    <row r="71" spans="1:17" s="470" customFormat="1" ht="15.75" thickTop="1">
      <c r="A71" s="552"/>
      <c r="B71" s="537">
        <f>B12</f>
        <v>111</v>
      </c>
      <c r="C71" s="553"/>
      <c r="D71" s="553"/>
      <c r="E71" s="553"/>
      <c r="F71" s="553"/>
      <c r="G71" s="553"/>
      <c r="H71" s="554"/>
      <c r="I71" s="554"/>
      <c r="J71" s="554"/>
      <c r="K71" s="554"/>
      <c r="L71" s="555"/>
      <c r="M71" s="556"/>
      <c r="N71" s="1152"/>
      <c r="O71" s="1152"/>
      <c r="P71" s="2687"/>
      <c r="Q71" s="558"/>
    </row>
    <row r="72" spans="1:17" s="470" customFormat="1" ht="15.75" thickBot="1">
      <c r="A72" s="552"/>
      <c r="B72" s="542"/>
      <c r="C72" s="559"/>
      <c r="D72" s="535"/>
      <c r="E72" s="535"/>
      <c r="F72" s="535"/>
      <c r="G72" s="535"/>
      <c r="H72" s="535"/>
      <c r="I72" s="535"/>
      <c r="J72" s="535"/>
      <c r="K72" s="535"/>
      <c r="L72" s="535"/>
      <c r="M72" s="536"/>
      <c r="N72" s="1151"/>
      <c r="O72" s="1151"/>
      <c r="P72" s="2687"/>
      <c r="Q72" s="558"/>
    </row>
    <row r="73" spans="1:17" s="470" customFormat="1" ht="15.75" thickTop="1">
      <c r="A73" s="552"/>
      <c r="B73" s="537">
        <f>B13</f>
        <v>111</v>
      </c>
      <c r="C73" s="553"/>
      <c r="D73" s="553"/>
      <c r="E73" s="553"/>
      <c r="F73" s="553"/>
      <c r="G73" s="553"/>
      <c r="H73" s="554"/>
      <c r="I73" s="554"/>
      <c r="J73" s="554"/>
      <c r="K73" s="554"/>
      <c r="L73" s="555"/>
      <c r="M73" s="556"/>
      <c r="N73" s="1152"/>
      <c r="O73" s="1152"/>
      <c r="P73" s="2688"/>
      <c r="Q73" s="560"/>
    </row>
    <row r="74" spans="1:17" s="470" customFormat="1" ht="15.75" thickBot="1">
      <c r="A74" s="552"/>
      <c r="B74" s="542"/>
      <c r="C74" s="559"/>
      <c r="D74" s="559"/>
      <c r="E74" s="559"/>
      <c r="F74" s="559"/>
      <c r="G74" s="559"/>
      <c r="H74" s="561"/>
      <c r="I74" s="561"/>
      <c r="J74" s="561"/>
      <c r="K74" s="561"/>
      <c r="L74" s="561"/>
      <c r="M74" s="562"/>
      <c r="N74" s="1152"/>
      <c r="O74" s="1152"/>
      <c r="P74" s="2687"/>
      <c r="Q74" s="558"/>
    </row>
    <row r="75" spans="1:17" s="470" customFormat="1" ht="15.75" thickTop="1">
      <c r="A75" s="552"/>
      <c r="B75" s="545">
        <f>B14</f>
        <v>111</v>
      </c>
      <c r="C75" s="522"/>
      <c r="D75" s="522"/>
      <c r="E75" s="522"/>
      <c r="F75" s="522"/>
      <c r="G75" s="522"/>
      <c r="H75" s="563"/>
      <c r="I75" s="563"/>
      <c r="J75" s="563"/>
      <c r="K75" s="563"/>
      <c r="L75" s="564"/>
      <c r="M75" s="565"/>
      <c r="N75" s="1152"/>
      <c r="O75" s="1152"/>
      <c r="P75" s="2689"/>
      <c r="Q75" s="558"/>
    </row>
    <row r="76" spans="1:17" s="470" customFormat="1" ht="15.75" thickBot="1">
      <c r="A76" s="567"/>
      <c r="B76" s="568"/>
      <c r="C76" s="569"/>
      <c r="D76" s="569"/>
      <c r="E76" s="569"/>
      <c r="F76" s="569"/>
      <c r="G76" s="569"/>
      <c r="H76" s="570"/>
      <c r="I76" s="570"/>
      <c r="J76" s="570"/>
      <c r="K76" s="570"/>
      <c r="L76" s="570"/>
      <c r="M76" s="571"/>
      <c r="N76" s="1152"/>
      <c r="O76" s="1152"/>
      <c r="P76" s="2687"/>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6"/>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6"/>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6"/>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6"/>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6"/>
      <c r="Q86" s="503"/>
    </row>
    <row r="87" spans="1:17" s="116" customFormat="1" ht="27.75" thickTop="1">
      <c r="A87" s="578"/>
      <c r="B87" s="537" t="s">
        <v>2699</v>
      </c>
      <c r="C87" s="553"/>
      <c r="D87" s="553"/>
      <c r="E87" s="553"/>
      <c r="F87" s="553"/>
      <c r="G87" s="553"/>
      <c r="H87" s="553"/>
      <c r="I87" s="553"/>
      <c r="J87" s="553"/>
      <c r="K87" s="553"/>
      <c r="L87" s="579"/>
      <c r="M87" s="580"/>
      <c r="N87" s="1149"/>
      <c r="O87" s="1149"/>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6"/>
      <c r="Q88" s="503"/>
    </row>
    <row r="89" spans="1:17" s="116" customFormat="1" ht="15.75" thickTop="1">
      <c r="A89" s="578"/>
      <c r="B89" s="537" t="str">
        <f>B27</f>
        <v>楼层</v>
      </c>
      <c r="C89" s="2976" t="s">
        <v>3087</v>
      </c>
      <c r="D89" s="2976" t="s">
        <v>3089</v>
      </c>
      <c r="E89" s="2976" t="s">
        <v>3090</v>
      </c>
      <c r="F89" s="2637"/>
      <c r="G89" s="553"/>
      <c r="H89" s="553"/>
      <c r="I89" s="553"/>
      <c r="J89" s="553"/>
      <c r="K89" s="553"/>
      <c r="L89" s="553"/>
      <c r="M89" s="580"/>
      <c r="N89" s="1149"/>
      <c r="O89" s="1149"/>
      <c r="P89" s="2686"/>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1"/>
      <c r="O90" s="1151"/>
      <c r="P90" s="2686"/>
      <c r="Q90" s="503"/>
    </row>
    <row r="91" spans="1:17" s="470" customFormat="1" ht="15.75" thickTop="1">
      <c r="A91" s="552"/>
      <c r="B91" s="537" t="str">
        <f>B28</f>
        <v>朝向</v>
      </c>
      <c r="C91" s="2976" t="s">
        <v>3092</v>
      </c>
      <c r="D91" s="2976" t="s">
        <v>3094</v>
      </c>
      <c r="E91" s="2976" t="s">
        <v>3097</v>
      </c>
      <c r="F91" s="2976"/>
      <c r="G91" s="2976" t="s">
        <v>3095</v>
      </c>
      <c r="H91" s="554"/>
      <c r="I91" s="2978" t="s">
        <v>3096</v>
      </c>
      <c r="J91" s="554"/>
      <c r="K91" s="554"/>
      <c r="L91" s="555"/>
      <c r="M91" s="556"/>
      <c r="N91" s="1152"/>
      <c r="O91" s="1152"/>
      <c r="P91" s="2687"/>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2"/>
      <c r="O92" s="1152"/>
      <c r="P92" s="2687"/>
      <c r="Q92" s="558"/>
    </row>
    <row r="93" spans="1:17" ht="15.75" thickTop="1">
      <c r="A93" s="533"/>
      <c r="B93" s="537">
        <f>B29</f>
        <v>111</v>
      </c>
      <c r="C93" s="553"/>
      <c r="D93" s="553"/>
      <c r="E93" s="553"/>
      <c r="F93" s="553"/>
      <c r="G93" s="553"/>
      <c r="H93" s="553"/>
      <c r="I93" s="553"/>
      <c r="J93" s="553"/>
      <c r="K93" s="553"/>
      <c r="L93" s="579"/>
      <c r="M93" s="580"/>
      <c r="N93" s="1150"/>
      <c r="O93" s="1150"/>
      <c r="P93" s="2686"/>
      <c r="Q93" s="503"/>
    </row>
    <row r="94" spans="1:17" ht="15.75" thickBot="1">
      <c r="A94" s="533"/>
      <c r="B94" s="542"/>
      <c r="C94" s="559"/>
      <c r="D94" s="535"/>
      <c r="E94" s="535"/>
      <c r="F94" s="535"/>
      <c r="G94" s="535"/>
      <c r="H94" s="535"/>
      <c r="I94" s="535"/>
      <c r="J94" s="535"/>
      <c r="K94" s="535"/>
      <c r="L94" s="535"/>
      <c r="M94" s="536"/>
      <c r="N94" s="1151"/>
      <c r="O94" s="1151"/>
      <c r="P94" s="2686"/>
      <c r="Q94" s="503"/>
    </row>
    <row r="95" spans="1:17" ht="15.75" thickTop="1">
      <c r="A95" s="533"/>
      <c r="B95" s="537">
        <f>B30</f>
        <v>111</v>
      </c>
      <c r="C95" s="553"/>
      <c r="D95" s="553"/>
      <c r="E95" s="553"/>
      <c r="F95" s="553"/>
      <c r="G95" s="582"/>
      <c r="H95" s="582"/>
      <c r="I95" s="582"/>
      <c r="J95" s="582"/>
      <c r="K95" s="583"/>
      <c r="L95" s="584"/>
      <c r="M95" s="585"/>
      <c r="N95" s="1150"/>
      <c r="O95" s="1150"/>
      <c r="P95" s="2686"/>
      <c r="Q95" s="503"/>
    </row>
    <row r="96" spans="1:17" ht="15.75" thickBot="1">
      <c r="A96" s="533"/>
      <c r="B96" s="542"/>
      <c r="C96" s="559"/>
      <c r="D96" s="559"/>
      <c r="E96" s="559"/>
      <c r="F96" s="559"/>
      <c r="G96" s="535"/>
      <c r="H96" s="535"/>
      <c r="I96" s="535"/>
      <c r="J96" s="535"/>
      <c r="K96" s="535"/>
      <c r="L96" s="535"/>
      <c r="M96" s="536"/>
      <c r="N96" s="1151"/>
      <c r="O96" s="1151"/>
      <c r="P96" s="2686"/>
      <c r="Q96" s="503"/>
    </row>
    <row r="97" spans="1:17" ht="15.75" thickTop="1">
      <c r="A97" s="533"/>
      <c r="B97" s="537">
        <f>B31</f>
        <v>111</v>
      </c>
      <c r="C97" s="553"/>
      <c r="D97" s="553"/>
      <c r="E97" s="553"/>
      <c r="F97" s="553"/>
      <c r="G97" s="582"/>
      <c r="H97" s="582"/>
      <c r="I97" s="582"/>
      <c r="J97" s="582"/>
      <c r="K97" s="583"/>
      <c r="L97" s="584"/>
      <c r="M97" s="585"/>
      <c r="N97" s="1150"/>
      <c r="O97" s="1150"/>
      <c r="P97" s="2686"/>
      <c r="Q97" s="503"/>
    </row>
    <row r="98" spans="1:17" ht="15.75" thickBot="1">
      <c r="A98" s="533"/>
      <c r="B98" s="542"/>
      <c r="C98" s="559"/>
      <c r="D98" s="535"/>
      <c r="E98" s="535"/>
      <c r="F98" s="535"/>
      <c r="G98" s="535"/>
      <c r="H98" s="535"/>
      <c r="I98" s="535"/>
      <c r="J98" s="535"/>
      <c r="K98" s="535"/>
      <c r="L98" s="535"/>
      <c r="M98" s="536"/>
      <c r="N98" s="1151"/>
      <c r="O98" s="1151"/>
      <c r="P98" s="2686"/>
      <c r="Q98" s="503"/>
    </row>
    <row r="99" spans="1:17" ht="15.75" thickTop="1">
      <c r="A99" s="533"/>
      <c r="B99" s="545">
        <f>B32</f>
        <v>111</v>
      </c>
      <c r="C99" s="522"/>
      <c r="D99" s="522"/>
      <c r="E99" s="522"/>
      <c r="F99" s="522"/>
      <c r="G99" s="586"/>
      <c r="H99" s="586"/>
      <c r="I99" s="586"/>
      <c r="J99" s="586"/>
      <c r="K99" s="587"/>
      <c r="L99" s="588"/>
      <c r="M99" s="589"/>
      <c r="N99" s="1150"/>
      <c r="O99" s="1150"/>
      <c r="P99" s="2686"/>
      <c r="Q99" s="503"/>
    </row>
    <row r="100" spans="1:17" ht="15.75" thickBot="1">
      <c r="A100" s="2638"/>
      <c r="B100" s="568"/>
      <c r="C100" s="569"/>
      <c r="D100" s="569"/>
      <c r="E100" s="569"/>
      <c r="F100" s="569"/>
      <c r="G100" s="590"/>
      <c r="H100" s="590"/>
      <c r="I100" s="590"/>
      <c r="J100" s="590"/>
      <c r="K100" s="590"/>
      <c r="L100" s="590"/>
      <c r="M100" s="591"/>
      <c r="N100" s="1151"/>
      <c r="O100" s="1151"/>
      <c r="P100" s="2686"/>
      <c r="Q100" s="503"/>
    </row>
    <row r="101" spans="1:17">
      <c r="A101" s="526" t="s">
        <v>2563</v>
      </c>
      <c r="B101" s="527" t="s">
        <v>2612</v>
      </c>
      <c r="C101" s="529"/>
      <c r="D101" s="529"/>
      <c r="E101" s="529"/>
      <c r="F101" s="529"/>
      <c r="G101" s="529"/>
      <c r="H101" s="529"/>
      <c r="I101" s="529"/>
      <c r="J101" s="529"/>
      <c r="K101" s="530"/>
      <c r="L101" s="531"/>
      <c r="M101" s="532"/>
      <c r="N101" s="1150"/>
      <c r="O101" s="1150"/>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6"/>
      <c r="Q102" s="503"/>
    </row>
    <row r="103" spans="1:17" ht="29.25" thickTop="1">
      <c r="A103" s="533"/>
      <c r="B103" s="537" t="s">
        <v>2613</v>
      </c>
      <c r="C103" s="577" t="str">
        <f>C104&amp;"(含)"&amp;"-"&amp;D104</f>
        <v>0(含)-100000</v>
      </c>
      <c r="D103" s="577" t="str">
        <f t="shared" ref="D103:L103" si="23">D104&amp;"(含)"&amp;"-"&amp;E104</f>
        <v>100000(含)-200000</v>
      </c>
      <c r="E103" s="577" t="str">
        <f t="shared" si="23"/>
        <v>200000(含)-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6"/>
      <c r="Q103" s="503"/>
    </row>
    <row r="104" spans="1:17" s="470" customFormat="1">
      <c r="A104" s="592"/>
      <c r="B104" s="593"/>
      <c r="C104" s="594">
        <v>0</v>
      </c>
      <c r="D104" s="594">
        <v>100000</v>
      </c>
      <c r="E104" s="594">
        <v>200000</v>
      </c>
      <c r="F104" s="594"/>
      <c r="G104" s="594"/>
      <c r="H104" s="594"/>
      <c r="I104" s="594"/>
      <c r="J104" s="595"/>
      <c r="K104" s="595"/>
      <c r="L104" s="596"/>
      <c r="M104" s="597"/>
      <c r="N104" s="1152"/>
      <c r="O104" s="1152"/>
      <c r="P104" s="2687"/>
      <c r="Q104" s="558"/>
    </row>
    <row r="105" spans="1:17" s="470" customFormat="1" ht="15.75" thickBot="1">
      <c r="A105" s="552"/>
      <c r="B105" s="542"/>
      <c r="C105" s="559"/>
      <c r="D105" s="535">
        <v>100</v>
      </c>
      <c r="E105" s="535"/>
      <c r="F105" s="535"/>
      <c r="G105" s="535"/>
      <c r="H105" s="535"/>
      <c r="I105" s="535"/>
      <c r="J105" s="535"/>
      <c r="K105" s="535"/>
      <c r="L105" s="535"/>
      <c r="M105" s="536"/>
      <c r="N105" s="1151"/>
      <c r="O105" s="1151"/>
      <c r="P105" s="2687"/>
      <c r="Q105" s="558"/>
    </row>
    <row r="106" spans="1:17" ht="15" thickTop="1">
      <c r="A106" s="598"/>
      <c r="B106" s="537" t="s">
        <v>2614</v>
      </c>
      <c r="C106" s="553"/>
      <c r="D106" s="553"/>
      <c r="E106" s="582"/>
      <c r="F106" s="582"/>
      <c r="G106" s="582"/>
      <c r="H106" s="582"/>
      <c r="I106" s="582"/>
      <c r="J106" s="582"/>
      <c r="K106" s="583"/>
      <c r="L106" s="584"/>
      <c r="M106" s="585"/>
      <c r="N106" s="1150"/>
      <c r="O106" s="1150"/>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6"/>
      <c r="Q107" s="503"/>
    </row>
    <row r="108" spans="1:17" ht="15" thickTop="1">
      <c r="A108" s="598"/>
      <c r="B108" s="537" t="s">
        <v>2616</v>
      </c>
      <c r="C108" s="553"/>
      <c r="D108" s="553"/>
      <c r="E108" s="553"/>
      <c r="F108" s="582"/>
      <c r="G108" s="582"/>
      <c r="H108" s="582"/>
      <c r="I108" s="582"/>
      <c r="J108" s="582"/>
      <c r="K108" s="583"/>
      <c r="L108" s="584"/>
      <c r="M108" s="585"/>
      <c r="N108" s="1150"/>
      <c r="O108" s="1150"/>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6"/>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6"/>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7"/>
      <c r="Q114" s="558"/>
    </row>
    <row r="115" spans="1:17" ht="15" thickTop="1">
      <c r="A115" s="598"/>
      <c r="B115" s="537" t="s">
        <v>2617</v>
      </c>
      <c r="C115" s="553"/>
      <c r="D115" s="553"/>
      <c r="E115" s="582"/>
      <c r="F115" s="582"/>
      <c r="G115" s="582"/>
      <c r="H115" s="582"/>
      <c r="I115" s="582"/>
      <c r="J115" s="582"/>
      <c r="K115" s="583"/>
      <c r="L115" s="584"/>
      <c r="M115" s="585"/>
      <c r="N115" s="1150"/>
      <c r="O115" s="1150"/>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6"/>
      <c r="Q116" s="503"/>
    </row>
    <row r="117" spans="1:17" ht="15" thickTop="1">
      <c r="A117" s="598"/>
      <c r="B117" s="537" t="s">
        <v>2618</v>
      </c>
      <c r="C117" s="553"/>
      <c r="D117" s="553"/>
      <c r="E117" s="553"/>
      <c r="F117" s="553"/>
      <c r="G117" s="553"/>
      <c r="H117" s="582"/>
      <c r="I117" s="582"/>
      <c r="J117" s="582"/>
      <c r="K117" s="583"/>
      <c r="L117" s="584"/>
      <c r="M117" s="585"/>
      <c r="N117" s="1150"/>
      <c r="O117" s="1150"/>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6"/>
      <c r="Q118" s="503"/>
    </row>
    <row r="119" spans="1:17" ht="15" thickTop="1">
      <c r="A119" s="598"/>
      <c r="B119" s="635" t="s">
        <v>2701</v>
      </c>
      <c r="C119" s="582"/>
      <c r="D119" s="582"/>
      <c r="E119" s="582"/>
      <c r="F119" s="582"/>
      <c r="G119" s="582"/>
      <c r="H119" s="582"/>
      <c r="I119" s="582"/>
      <c r="J119" s="582"/>
      <c r="K119" s="582"/>
      <c r="L119" s="2691"/>
      <c r="M119" s="2692"/>
      <c r="N119" s="1151"/>
      <c r="O119" s="1151"/>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6"/>
      <c r="Q120" s="503"/>
    </row>
    <row r="121" spans="1:17" s="470" customFormat="1" ht="15" thickTop="1">
      <c r="A121" s="592"/>
      <c r="B121" s="537" t="s">
        <v>2684</v>
      </c>
      <c r="C121" s="553">
        <v>296.32</v>
      </c>
      <c r="D121" s="553">
        <v>334</v>
      </c>
      <c r="E121" s="553">
        <v>300</v>
      </c>
      <c r="F121" s="582">
        <v>106</v>
      </c>
      <c r="G121" s="554"/>
      <c r="H121" s="554"/>
      <c r="I121" s="554"/>
      <c r="J121" s="554"/>
      <c r="K121" s="554"/>
      <c r="L121" s="555"/>
      <c r="M121" s="556"/>
      <c r="N121" s="1152"/>
      <c r="O121" s="1152"/>
      <c r="P121" s="2687"/>
      <c r="Q121" s="558"/>
    </row>
    <row r="122" spans="1:17" s="470" customFormat="1" ht="15.75" thickBot="1">
      <c r="A122" s="552"/>
      <c r="B122" s="534"/>
      <c r="C122" s="559">
        <v>100</v>
      </c>
      <c r="D122" s="559">
        <v>100</v>
      </c>
      <c r="E122" s="559">
        <v>100</v>
      </c>
      <c r="F122" s="559">
        <v>99</v>
      </c>
      <c r="G122" s="559"/>
      <c r="H122" s="559"/>
      <c r="I122" s="559"/>
      <c r="J122" s="559"/>
      <c r="K122" s="559"/>
      <c r="L122" s="559"/>
      <c r="M122" s="559"/>
      <c r="N122" s="1152"/>
      <c r="O122" s="1152"/>
      <c r="P122" s="2687"/>
      <c r="Q122" s="558"/>
    </row>
    <row r="123" spans="1:17" ht="15" thickTop="1">
      <c r="A123" s="598"/>
      <c r="B123" s="537" t="s">
        <v>2620</v>
      </c>
      <c r="C123" s="2976" t="s">
        <v>3099</v>
      </c>
      <c r="D123" s="2976" t="s">
        <v>3100</v>
      </c>
      <c r="E123" s="2976" t="s">
        <v>3101</v>
      </c>
      <c r="F123" s="2977" t="s">
        <v>3102</v>
      </c>
      <c r="G123" s="582"/>
      <c r="H123" s="582"/>
      <c r="I123" s="582"/>
      <c r="J123" s="582"/>
      <c r="K123" s="583"/>
      <c r="L123" s="584"/>
      <c r="M123" s="585"/>
      <c r="N123" s="1150"/>
      <c r="O123" s="1150"/>
      <c r="P123" s="2686"/>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1"/>
      <c r="O124" s="1151"/>
      <c r="P124" s="2686"/>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7"/>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7"/>
      <c r="Q128" s="558"/>
    </row>
    <row r="129" spans="1:17" ht="15" thickTop="1">
      <c r="A129" s="598"/>
      <c r="B129" s="537">
        <f>B46</f>
        <v>111</v>
      </c>
      <c r="C129" s="553"/>
      <c r="D129" s="553"/>
      <c r="E129" s="553"/>
      <c r="F129" s="553"/>
      <c r="G129" s="582"/>
      <c r="H129" s="582"/>
      <c r="I129" s="582"/>
      <c r="J129" s="582"/>
      <c r="K129" s="583"/>
      <c r="L129" s="584"/>
      <c r="M129" s="585"/>
      <c r="N129" s="1150"/>
      <c r="O129" s="1150"/>
      <c r="P129" s="2686"/>
      <c r="Q129" s="503"/>
    </row>
    <row r="130" spans="1:17" ht="15.75" thickBot="1">
      <c r="A130" s="533"/>
      <c r="B130" s="542"/>
      <c r="C130" s="559"/>
      <c r="D130" s="559"/>
      <c r="E130" s="559"/>
      <c r="F130" s="559"/>
      <c r="G130" s="535"/>
      <c r="H130" s="535"/>
      <c r="I130" s="535"/>
      <c r="J130" s="535"/>
      <c r="K130" s="535"/>
      <c r="L130" s="535"/>
      <c r="M130" s="536"/>
      <c r="N130" s="1151"/>
      <c r="O130" s="1151"/>
      <c r="P130" s="2686"/>
      <c r="Q130" s="503"/>
    </row>
    <row r="131" spans="1:17" ht="15" thickTop="1">
      <c r="A131" s="598"/>
      <c r="B131" s="545">
        <f>B47</f>
        <v>111</v>
      </c>
      <c r="C131" s="522"/>
      <c r="D131" s="522"/>
      <c r="E131" s="522"/>
      <c r="F131" s="522"/>
      <c r="G131" s="586"/>
      <c r="H131" s="586"/>
      <c r="I131" s="586"/>
      <c r="J131" s="586"/>
      <c r="K131" s="522"/>
      <c r="L131" s="523"/>
      <c r="M131" s="589"/>
      <c r="N131" s="1150"/>
      <c r="O131" s="1150"/>
      <c r="P131" s="2686"/>
      <c r="Q131" s="503"/>
    </row>
    <row r="132" spans="1:17" ht="15.75" thickBot="1">
      <c r="A132" s="2638"/>
      <c r="B132" s="568"/>
      <c r="C132" s="569"/>
      <c r="D132" s="569"/>
      <c r="E132" s="569"/>
      <c r="F132" s="569"/>
      <c r="G132" s="590"/>
      <c r="H132" s="590"/>
      <c r="I132" s="590"/>
      <c r="J132" s="590"/>
      <c r="K132" s="590"/>
      <c r="L132" s="590"/>
      <c r="M132" s="591"/>
      <c r="N132" s="1151"/>
      <c r="O132" s="1151"/>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16" stopIfTrue="1" operator="containsText" text="超过">
      <formula>NOT(ISERROR(SEARCH("超过",F53)))</formula>
    </cfRule>
  </conditionalFormatting>
  <conditionalFormatting sqref="H55">
    <cfRule type="containsText" dxfId="125" priority="15" stopIfTrue="1" operator="containsText" text="超过">
      <formula>NOT(ISERROR(SEARCH("超过",H55)))</formula>
    </cfRule>
  </conditionalFormatting>
  <conditionalFormatting sqref="F55">
    <cfRule type="containsText" dxfId="124" priority="14" stopIfTrue="1" operator="containsText" text="超过">
      <formula>NOT(ISERROR(SEARCH("超过",F55)))</formula>
    </cfRule>
  </conditionalFormatting>
  <conditionalFormatting sqref="F54 H54">
    <cfRule type="containsText" dxfId="123" priority="13" stopIfTrue="1" operator="containsText" text="超过">
      <formula>NOT(ISERROR(SEARCH("超过",F54)))</formula>
    </cfRule>
  </conditionalFormatting>
  <conditionalFormatting sqref="E53">
    <cfRule type="expression" dxfId="122" priority="12" stopIfTrue="1">
      <formula>$F$53="超过30%"</formula>
    </cfRule>
  </conditionalFormatting>
  <conditionalFormatting sqref="E54">
    <cfRule type="expression" dxfId="121" priority="11" stopIfTrue="1">
      <formula>$F$54="超过20%"</formula>
    </cfRule>
  </conditionalFormatting>
  <conditionalFormatting sqref="E55">
    <cfRule type="expression" dxfId="120" priority="10" stopIfTrue="1">
      <formula>$F$55="超过30%"</formula>
    </cfRule>
  </conditionalFormatting>
  <conditionalFormatting sqref="G55">
    <cfRule type="expression" dxfId="119" priority="9" stopIfTrue="1">
      <formula>$H$55="超过30%"</formula>
    </cfRule>
  </conditionalFormatting>
  <conditionalFormatting sqref="G53">
    <cfRule type="expression" dxfId="118" priority="8" stopIfTrue="1">
      <formula>$H$53="超过30%"</formula>
    </cfRule>
  </conditionalFormatting>
  <conditionalFormatting sqref="G54">
    <cfRule type="expression" dxfId="117" priority="7" stopIfTrue="1">
      <formula>$H$54="超过20%"</formula>
    </cfRule>
  </conditionalFormatting>
  <conditionalFormatting sqref="J53">
    <cfRule type="containsText" dxfId="116" priority="6" stopIfTrue="1" operator="containsText" text="超过">
      <formula>NOT(ISERROR(SEARCH("超过",J53)))</formula>
    </cfRule>
  </conditionalFormatting>
  <conditionalFormatting sqref="J55">
    <cfRule type="containsText" dxfId="115" priority="5" stopIfTrue="1" operator="containsText" text="超过">
      <formula>NOT(ISERROR(SEARCH("超过",J55)))</formula>
    </cfRule>
  </conditionalFormatting>
  <conditionalFormatting sqref="J54">
    <cfRule type="containsText" dxfId="114" priority="4" stopIfTrue="1" operator="containsText" text="超过">
      <formula>NOT(ISERROR(SEARCH("超过",J54)))</formula>
    </cfRule>
  </conditionalFormatting>
  <conditionalFormatting sqref="I53">
    <cfRule type="expression" dxfId="113" priority="3" stopIfTrue="1">
      <formula>$J$53="超过30%"</formula>
    </cfRule>
  </conditionalFormatting>
  <conditionalFormatting sqref="I54">
    <cfRule type="expression" dxfId="112" priority="2" stopIfTrue="1">
      <formula>$J$53+$J$54="超过20%"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71" t="s">
        <v>2702</v>
      </c>
      <c r="C1" s="1618" t="s">
        <v>2530</v>
      </c>
      <c r="D1" s="1619"/>
      <c r="E1" s="1628"/>
      <c r="F1" s="2586"/>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8"/>
      <c r="D2" s="1122" t="e">
        <f ca="1">SUMIF(INDIRECT("'"&amp;F2&amp;"'"&amp;"!A:A"),"承租人权益价值",INDIRECT("'"&amp;F2&amp;"'"&amp;"!c:c"))</f>
        <v>#REF!</v>
      </c>
      <c r="E2" s="2589" t="s">
        <v>2328</v>
      </c>
      <c r="F2" s="2590"/>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2215.16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2" t="s">
        <v>2648</v>
      </c>
      <c r="AC4" s="3201" t="s">
        <v>2649</v>
      </c>
    </row>
    <row r="5" spans="1:29"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2"/>
      <c r="AC5" s="3202"/>
    </row>
    <row r="6" spans="1:29" ht="15.75" thickBot="1">
      <c r="A6" s="405"/>
      <c r="B6" s="406"/>
      <c r="C6" s="3215" t="s">
        <v>2546</v>
      </c>
      <c r="D6" s="3216"/>
      <c r="E6" s="3217" t="s">
        <v>2546</v>
      </c>
      <c r="F6" s="3218"/>
      <c r="G6" s="3215" t="s">
        <v>2546</v>
      </c>
      <c r="H6" s="3216"/>
      <c r="I6" s="3215" t="s">
        <v>2546</v>
      </c>
      <c r="J6" s="3216"/>
      <c r="K6" s="609" t="s">
        <v>2547</v>
      </c>
      <c r="L6" s="1128"/>
      <c r="M6" s="1129"/>
      <c r="N6" s="1129"/>
      <c r="O6" s="1129"/>
      <c r="P6" s="3228"/>
      <c r="Q6" s="3229"/>
      <c r="R6" s="3209"/>
      <c r="S6" s="3210"/>
      <c r="T6" s="3230"/>
      <c r="U6" s="3231"/>
      <c r="V6" s="3204"/>
      <c r="W6" s="3204"/>
      <c r="X6" s="1811"/>
      <c r="Y6" s="3230"/>
      <c r="Z6" s="3231"/>
      <c r="AA6" s="3203"/>
      <c r="AB6" s="3203"/>
      <c r="AC6" s="3203"/>
    </row>
    <row r="7" spans="1:29" s="116" customFormat="1" ht="15.75" thickBot="1">
      <c r="A7" s="407" t="s">
        <v>2548</v>
      </c>
      <c r="B7" s="408"/>
      <c r="C7" s="409">
        <f>'数据-取费表'!B2</f>
        <v>43656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05" t="s">
        <v>2549</v>
      </c>
      <c r="Q7" s="3232"/>
      <c r="R7" s="768" t="s">
        <v>17</v>
      </c>
      <c r="S7" s="769">
        <f t="shared" ref="S7:S15" si="0">F7</f>
        <v>0</v>
      </c>
      <c r="T7" s="768" t="s">
        <v>17</v>
      </c>
      <c r="U7" s="769">
        <f t="shared" ref="U7:U15" si="1">H7</f>
        <v>0</v>
      </c>
      <c r="V7" s="768" t="s">
        <v>17</v>
      </c>
      <c r="W7" s="769">
        <f t="shared" ref="W7:W15" si="2">J7</f>
        <v>0</v>
      </c>
      <c r="X7" s="770"/>
      <c r="Y7" s="3205" t="s">
        <v>2549</v>
      </c>
      <c r="Z7" s="3206"/>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42"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42"/>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42"/>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0"/>
      <c r="M12" s="1131"/>
      <c r="N12" s="1131"/>
      <c r="O12" s="1132"/>
      <c r="P12" s="3242"/>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38"/>
      <c r="M13" s="1129"/>
      <c r="N13" s="1129"/>
      <c r="O13" s="1137"/>
      <c r="P13" s="3242"/>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38"/>
      <c r="M14" s="1129"/>
      <c r="N14" s="1129"/>
      <c r="O14" s="1137"/>
      <c r="P14" s="3242"/>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57">
      <c r="A15" s="439" t="s">
        <v>2559</v>
      </c>
      <c r="B15" s="68" t="s">
        <v>2703</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5" t="s">
        <v>2560</v>
      </c>
      <c r="Q15" s="1808" t="str">
        <f t="shared" si="6"/>
        <v>产业集聚程度</v>
      </c>
      <c r="R15" s="772" t="s">
        <v>17</v>
      </c>
      <c r="S15" s="773">
        <f t="shared" si="0"/>
        <v>100</v>
      </c>
      <c r="T15" s="772" t="s">
        <v>17</v>
      </c>
      <c r="U15" s="773">
        <f t="shared" si="1"/>
        <v>100</v>
      </c>
      <c r="V15" s="772" t="s">
        <v>17</v>
      </c>
      <c r="W15" s="773">
        <f t="shared" si="2"/>
        <v>100</v>
      </c>
      <c r="X15" s="1811"/>
      <c r="Y15" s="3235"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36"/>
      <c r="Q16" s="1808"/>
      <c r="R16" s="772"/>
      <c r="S16" s="773"/>
      <c r="T16" s="772"/>
      <c r="U16" s="773"/>
      <c r="V16" s="772"/>
      <c r="W16" s="773"/>
      <c r="X16" s="1811"/>
      <c r="Y16" s="3236"/>
      <c r="Z16" s="1812"/>
      <c r="AA16" s="1809">
        <v>1</v>
      </c>
      <c r="AB16" s="1809">
        <v>1</v>
      </c>
      <c r="AC16" s="1809">
        <v>1</v>
      </c>
    </row>
    <row r="17" spans="1:29" ht="85.5">
      <c r="A17" s="427"/>
      <c r="B17" s="450" t="s">
        <v>2095</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6"/>
      <c r="Q17" s="1808" t="str">
        <f>B17</f>
        <v>交通便捷度</v>
      </c>
      <c r="R17" s="772" t="s">
        <v>17</v>
      </c>
      <c r="S17" s="773">
        <f>F17</f>
        <v>100</v>
      </c>
      <c r="T17" s="772" t="s">
        <v>17</v>
      </c>
      <c r="U17" s="773">
        <f>H17</f>
        <v>100</v>
      </c>
      <c r="V17" s="772" t="s">
        <v>17</v>
      </c>
      <c r="W17" s="773">
        <f>J17</f>
        <v>100</v>
      </c>
      <c r="X17" s="1811"/>
      <c r="Y17" s="3236"/>
      <c r="Z17" s="1812" t="str">
        <f>Q17</f>
        <v>交通便捷度</v>
      </c>
      <c r="AA17" s="1809">
        <f t="shared" si="3"/>
        <v>1</v>
      </c>
      <c r="AB17" s="1809">
        <f t="shared" si="4"/>
        <v>1</v>
      </c>
      <c r="AC17" s="1809">
        <f t="shared" si="5"/>
        <v>1</v>
      </c>
    </row>
    <row r="18" spans="1:29" ht="15">
      <c r="A18" s="427"/>
      <c r="B18" s="455"/>
      <c r="C18" s="2610"/>
      <c r="D18" s="449"/>
      <c r="E18" s="2612"/>
      <c r="F18" s="452"/>
      <c r="G18" s="2611"/>
      <c r="H18" s="447"/>
      <c r="I18" s="2612"/>
      <c r="J18" s="447"/>
      <c r="K18" s="614"/>
      <c r="L18" s="1138"/>
      <c r="M18" s="1129"/>
      <c r="N18" s="1129"/>
      <c r="O18" s="1137"/>
      <c r="P18" s="3236"/>
      <c r="Q18" s="1808"/>
      <c r="R18" s="772"/>
      <c r="S18" s="773"/>
      <c r="T18" s="772"/>
      <c r="U18" s="773"/>
      <c r="V18" s="772"/>
      <c r="W18" s="773"/>
      <c r="X18" s="1811"/>
      <c r="Y18" s="3236"/>
      <c r="Z18" s="1812"/>
      <c r="AA18" s="1809">
        <v>1</v>
      </c>
      <c r="AB18" s="1809">
        <v>1</v>
      </c>
      <c r="AC18" s="1809">
        <v>1</v>
      </c>
    </row>
    <row r="19" spans="1:29" ht="42.75">
      <c r="A19" s="427"/>
      <c r="B19" s="450" t="s">
        <v>2688</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6"/>
      <c r="Q19" s="1808" t="str">
        <f>B19</f>
        <v>公共配套设施</v>
      </c>
      <c r="R19" s="772" t="s">
        <v>17</v>
      </c>
      <c r="S19" s="773">
        <f>F19</f>
        <v>100</v>
      </c>
      <c r="T19" s="772" t="s">
        <v>17</v>
      </c>
      <c r="U19" s="773">
        <f>H19</f>
        <v>100</v>
      </c>
      <c r="V19" s="772" t="s">
        <v>17</v>
      </c>
      <c r="W19" s="773">
        <f>J19</f>
        <v>100</v>
      </c>
      <c r="X19" s="1811"/>
      <c r="Y19" s="3236"/>
      <c r="Z19" s="1812" t="str">
        <f>Q19</f>
        <v>公共配套设施</v>
      </c>
      <c r="AA19" s="1809">
        <f t="shared" si="3"/>
        <v>1</v>
      </c>
      <c r="AB19" s="1809">
        <f t="shared" si="4"/>
        <v>1</v>
      </c>
      <c r="AC19" s="1809">
        <f t="shared" si="5"/>
        <v>1</v>
      </c>
    </row>
    <row r="20" spans="1:29" ht="15">
      <c r="A20" s="427"/>
      <c r="B20" s="455"/>
      <c r="C20" s="446"/>
      <c r="D20" s="447"/>
      <c r="E20" s="2607"/>
      <c r="F20" s="448"/>
      <c r="G20" s="2606"/>
      <c r="H20" s="447"/>
      <c r="I20" s="2607"/>
      <c r="J20" s="447"/>
      <c r="K20" s="614"/>
      <c r="L20" s="1138"/>
      <c r="M20" s="1129"/>
      <c r="N20" s="1129"/>
      <c r="O20" s="1137"/>
      <c r="P20" s="3236"/>
      <c r="Q20" s="1808"/>
      <c r="R20" s="772"/>
      <c r="S20" s="773"/>
      <c r="T20" s="772"/>
      <c r="U20" s="773"/>
      <c r="V20" s="772"/>
      <c r="W20" s="773"/>
      <c r="X20" s="1811"/>
      <c r="Y20" s="3236"/>
      <c r="Z20" s="1812"/>
      <c r="AA20" s="1809">
        <v>1</v>
      </c>
      <c r="AB20" s="1809">
        <v>1</v>
      </c>
      <c r="AC20" s="1809">
        <v>1</v>
      </c>
    </row>
    <row r="21" spans="1:29" ht="28.5">
      <c r="A21" s="427"/>
      <c r="B21" s="1382" t="s">
        <v>2689</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6"/>
      <c r="Q21" s="1808" t="str">
        <f>B21</f>
        <v>基础设施水平</v>
      </c>
      <c r="R21" s="772" t="s">
        <v>17</v>
      </c>
      <c r="S21" s="773">
        <f>F21</f>
        <v>100</v>
      </c>
      <c r="T21" s="772" t="s">
        <v>17</v>
      </c>
      <c r="U21" s="773">
        <f>H21</f>
        <v>100</v>
      </c>
      <c r="V21" s="772" t="s">
        <v>17</v>
      </c>
      <c r="W21" s="773">
        <f>J21</f>
        <v>100</v>
      </c>
      <c r="X21" s="1811"/>
      <c r="Y21" s="323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8"/>
      <c r="G22" s="446"/>
      <c r="H22" s="447"/>
      <c r="I22" s="446"/>
      <c r="J22" s="447"/>
      <c r="K22" s="1381"/>
      <c r="L22" s="1138"/>
      <c r="M22" s="1129"/>
      <c r="N22" s="1129"/>
      <c r="O22" s="1137"/>
      <c r="P22" s="3236"/>
      <c r="Q22" s="1808"/>
      <c r="R22" s="772"/>
      <c r="S22" s="773"/>
      <c r="T22" s="772"/>
      <c r="U22" s="773"/>
      <c r="V22" s="772"/>
      <c r="W22" s="773"/>
      <c r="X22" s="1811"/>
      <c r="Y22" s="3236"/>
      <c r="Z22" s="1812"/>
      <c r="AA22" s="1809">
        <v>1</v>
      </c>
      <c r="AB22" s="1809">
        <v>1</v>
      </c>
      <c r="AC22" s="1809">
        <v>1</v>
      </c>
    </row>
    <row r="23" spans="1:29" ht="71.25">
      <c r="A23" s="427"/>
      <c r="B23" s="450" t="s">
        <v>2690</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6"/>
      <c r="Q23" s="1808" t="str">
        <f>B23</f>
        <v>环境质量</v>
      </c>
      <c r="R23" s="772" t="s">
        <v>17</v>
      </c>
      <c r="S23" s="773">
        <f>F23</f>
        <v>100</v>
      </c>
      <c r="T23" s="772" t="s">
        <v>17</v>
      </c>
      <c r="U23" s="773">
        <f>H23</f>
        <v>100</v>
      </c>
      <c r="V23" s="772" t="s">
        <v>17</v>
      </c>
      <c r="W23" s="773">
        <f>J23</f>
        <v>100</v>
      </c>
      <c r="X23" s="1811"/>
      <c r="Y23" s="3236"/>
      <c r="Z23" s="1812" t="str">
        <f>Q23</f>
        <v>环境质量</v>
      </c>
      <c r="AA23" s="1809">
        <f t="shared" si="3"/>
        <v>1</v>
      </c>
      <c r="AB23" s="1809">
        <f t="shared" si="4"/>
        <v>1</v>
      </c>
      <c r="AC23" s="1809">
        <f t="shared" si="5"/>
        <v>1</v>
      </c>
    </row>
    <row r="24" spans="1:29" ht="15">
      <c r="A24" s="427"/>
      <c r="B24" s="1382"/>
      <c r="C24" s="446"/>
      <c r="D24" s="447"/>
      <c r="E24" s="2607"/>
      <c r="F24" s="448"/>
      <c r="G24" s="2606"/>
      <c r="H24" s="447"/>
      <c r="I24" s="2607"/>
      <c r="J24" s="447"/>
      <c r="K24" s="614"/>
      <c r="L24" s="1138"/>
      <c r="M24" s="1129"/>
      <c r="N24" s="1129"/>
      <c r="O24" s="1137"/>
      <c r="P24" s="3236"/>
      <c r="Q24" s="1808"/>
      <c r="R24" s="772"/>
      <c r="S24" s="773"/>
      <c r="T24" s="772"/>
      <c r="U24" s="773"/>
      <c r="V24" s="772"/>
      <c r="W24" s="773"/>
      <c r="X24" s="1811"/>
      <c r="Y24" s="3236"/>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6"/>
      <c r="Q25" s="1808">
        <f>B25</f>
        <v>111</v>
      </c>
      <c r="R25" s="772" t="s">
        <v>17</v>
      </c>
      <c r="S25" s="773">
        <f>F25</f>
        <v>100</v>
      </c>
      <c r="T25" s="772" t="s">
        <v>17</v>
      </c>
      <c r="U25" s="773">
        <f>H25</f>
        <v>100</v>
      </c>
      <c r="V25" s="772" t="s">
        <v>17</v>
      </c>
      <c r="W25" s="773">
        <f>J25</f>
        <v>100</v>
      </c>
      <c r="X25" s="1811"/>
      <c r="Y25" s="323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6"/>
      <c r="Q26" s="1808">
        <f t="shared" ref="Q26:Q40" si="11">B26</f>
        <v>111</v>
      </c>
      <c r="R26" s="772" t="s">
        <v>17</v>
      </c>
      <c r="S26" s="773">
        <f>F26</f>
        <v>100</v>
      </c>
      <c r="T26" s="772" t="s">
        <v>17</v>
      </c>
      <c r="U26" s="773">
        <f>H26</f>
        <v>100</v>
      </c>
      <c r="V26" s="772" t="s">
        <v>17</v>
      </c>
      <c r="W26" s="773">
        <f>J26</f>
        <v>100</v>
      </c>
      <c r="X26" s="1811"/>
      <c r="Y26" s="3236"/>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6"/>
      <c r="Q27" s="1793">
        <f t="shared" si="11"/>
        <v>111</v>
      </c>
      <c r="R27" s="768" t="s">
        <v>17</v>
      </c>
      <c r="S27" s="769">
        <f>F27</f>
        <v>100</v>
      </c>
      <c r="T27" s="768" t="s">
        <v>17</v>
      </c>
      <c r="U27" s="769">
        <f>H27</f>
        <v>100</v>
      </c>
      <c r="V27" s="768" t="s">
        <v>17</v>
      </c>
      <c r="W27" s="769">
        <f>J27</f>
        <v>100</v>
      </c>
      <c r="X27" s="770"/>
      <c r="Y27" s="3236"/>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6"/>
      <c r="Q28" s="1808">
        <f t="shared" si="11"/>
        <v>111</v>
      </c>
      <c r="R28" s="772" t="s">
        <v>17</v>
      </c>
      <c r="S28" s="773">
        <f t="shared" ref="S28:S40" si="12">F28</f>
        <v>100</v>
      </c>
      <c r="T28" s="772" t="s">
        <v>17</v>
      </c>
      <c r="U28" s="773">
        <f t="shared" ref="U28:U40" si="13">H28</f>
        <v>100</v>
      </c>
      <c r="V28" s="772" t="s">
        <v>17</v>
      </c>
      <c r="W28" s="773">
        <f t="shared" ref="W28:W40" si="14">J28</f>
        <v>100</v>
      </c>
      <c r="X28" s="1811"/>
      <c r="Y28" s="3236"/>
      <c r="Z28" s="1812">
        <f t="shared" ref="Z28:Z40" si="15">Q28</f>
        <v>111</v>
      </c>
      <c r="AA28" s="1809">
        <f t="shared" si="3"/>
        <v>1</v>
      </c>
      <c r="AB28" s="1809">
        <f t="shared" si="4"/>
        <v>1</v>
      </c>
      <c r="AC28" s="1809">
        <f t="shared" si="5"/>
        <v>1</v>
      </c>
    </row>
    <row r="29" spans="1:29" ht="28.5">
      <c r="A29" s="465" t="s">
        <v>2563</v>
      </c>
      <c r="B29" s="70" t="s">
        <v>2693</v>
      </c>
      <c r="C29" s="2681"/>
      <c r="D29" s="466">
        <v>100</v>
      </c>
      <c r="E29" s="2681"/>
      <c r="F29" s="460">
        <f>SUMIF(88:88,E29,89:89)-SUMIF(88:88,C29,89:89)+100</f>
        <v>100</v>
      </c>
      <c r="G29" s="2681"/>
      <c r="H29" s="434">
        <f>SUMIF(88:88,G29,89:89)-SUMIF(88:88,C29,89:89)+100</f>
        <v>100</v>
      </c>
      <c r="I29" s="2681"/>
      <c r="J29" s="466">
        <f>SUMIF(88:88,I29,89:89)-SUMIF(88:88,C29,89:89)+100</f>
        <v>100</v>
      </c>
      <c r="K29" s="611"/>
      <c r="L29" s="1138"/>
      <c r="M29" s="1129"/>
      <c r="N29" s="1129"/>
      <c r="O29" s="1137"/>
      <c r="P29" s="3263" t="s">
        <v>2565</v>
      </c>
      <c r="Q29" s="1808" t="str">
        <f t="shared" si="11"/>
        <v>建筑类型</v>
      </c>
      <c r="R29" s="772" t="s">
        <v>17</v>
      </c>
      <c r="S29" s="773">
        <f t="shared" si="12"/>
        <v>100</v>
      </c>
      <c r="T29" s="772" t="s">
        <v>17</v>
      </c>
      <c r="U29" s="773">
        <f t="shared" si="13"/>
        <v>100</v>
      </c>
      <c r="V29" s="772" t="s">
        <v>17</v>
      </c>
      <c r="W29" s="773">
        <f t="shared" si="14"/>
        <v>100</v>
      </c>
      <c r="X29" s="1811"/>
      <c r="Y29" s="3240"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0"/>
      <c r="Q30" s="774" t="str">
        <f t="shared" si="11"/>
        <v>项目建筑规模</v>
      </c>
      <c r="R30" s="775" t="s">
        <v>17</v>
      </c>
      <c r="S30" s="776" t="e">
        <f t="shared" si="12"/>
        <v>#N/A</v>
      </c>
      <c r="T30" s="775" t="s">
        <v>17</v>
      </c>
      <c r="U30" s="776" t="e">
        <f t="shared" si="13"/>
        <v>#N/A</v>
      </c>
      <c r="V30" s="775" t="s">
        <v>17</v>
      </c>
      <c r="W30" s="776" t="e">
        <f t="shared" si="14"/>
        <v>#N/A</v>
      </c>
      <c r="X30" s="777"/>
      <c r="Y30" s="3240"/>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0"/>
      <c r="Q31" s="1808" t="str">
        <f t="shared" si="11"/>
        <v>建筑结构</v>
      </c>
      <c r="R31" s="772" t="s">
        <v>17</v>
      </c>
      <c r="S31" s="773">
        <f t="shared" si="12"/>
        <v>100</v>
      </c>
      <c r="T31" s="772" t="s">
        <v>17</v>
      </c>
      <c r="U31" s="773">
        <f t="shared" si="13"/>
        <v>100</v>
      </c>
      <c r="V31" s="772" t="s">
        <v>17</v>
      </c>
      <c r="W31" s="773">
        <f t="shared" si="14"/>
        <v>100</v>
      </c>
      <c r="X31" s="1811"/>
      <c r="Y31" s="3240"/>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0"/>
      <c r="Q32" s="1808" t="str">
        <f t="shared" si="11"/>
        <v>公共部分装修</v>
      </c>
      <c r="R32" s="772" t="s">
        <v>17</v>
      </c>
      <c r="S32" s="773">
        <f t="shared" si="12"/>
        <v>100</v>
      </c>
      <c r="T32" s="772" t="s">
        <v>17</v>
      </c>
      <c r="U32" s="773">
        <f t="shared" si="13"/>
        <v>100</v>
      </c>
      <c r="V32" s="772" t="s">
        <v>17</v>
      </c>
      <c r="W32" s="773">
        <f t="shared" si="14"/>
        <v>100</v>
      </c>
      <c r="X32" s="1811"/>
      <c r="Y32" s="3240"/>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0"/>
      <c r="Q33" s="1808" t="str">
        <f t="shared" si="11"/>
        <v>成新度</v>
      </c>
      <c r="R33" s="772" t="s">
        <v>17</v>
      </c>
      <c r="S33" s="773" t="e">
        <f t="shared" si="12"/>
        <v>#N/A</v>
      </c>
      <c r="T33" s="772" t="s">
        <v>17</v>
      </c>
      <c r="U33" s="773" t="e">
        <f t="shared" si="13"/>
        <v>#N/A</v>
      </c>
      <c r="V33" s="772" t="s">
        <v>17</v>
      </c>
      <c r="W33" s="773" t="e">
        <f t="shared" si="14"/>
        <v>#N/A</v>
      </c>
      <c r="X33" s="1811"/>
      <c r="Y33" s="3240"/>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0"/>
      <c r="Q34" s="1793" t="str">
        <f t="shared" si="11"/>
        <v>物业管理</v>
      </c>
      <c r="R34" s="768" t="s">
        <v>17</v>
      </c>
      <c r="S34" s="769">
        <f t="shared" si="12"/>
        <v>100</v>
      </c>
      <c r="T34" s="768" t="s">
        <v>17</v>
      </c>
      <c r="U34" s="769">
        <f t="shared" si="13"/>
        <v>100</v>
      </c>
      <c r="V34" s="768" t="s">
        <v>17</v>
      </c>
      <c r="W34" s="769">
        <f t="shared" si="14"/>
        <v>100</v>
      </c>
      <c r="X34" s="770"/>
      <c r="Y34" s="3240"/>
      <c r="Z34" s="54"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0" t="s">
        <v>2565</v>
      </c>
      <c r="Q35" s="1808" t="str">
        <f t="shared" si="11"/>
        <v>市政基础设施</v>
      </c>
      <c r="R35" s="772" t="s">
        <v>17</v>
      </c>
      <c r="S35" s="773">
        <f t="shared" si="12"/>
        <v>100</v>
      </c>
      <c r="T35" s="772" t="s">
        <v>17</v>
      </c>
      <c r="U35" s="773">
        <f t="shared" si="13"/>
        <v>100</v>
      </c>
      <c r="V35" s="772" t="s">
        <v>17</v>
      </c>
      <c r="W35" s="773">
        <f t="shared" si="14"/>
        <v>100</v>
      </c>
      <c r="X35" s="1811"/>
      <c r="Y35" s="3240"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0"/>
      <c r="Q36" s="1808" t="str">
        <f t="shared" si="11"/>
        <v>内部装修</v>
      </c>
      <c r="R36" s="772" t="s">
        <v>17</v>
      </c>
      <c r="S36" s="773">
        <f t="shared" si="12"/>
        <v>100</v>
      </c>
      <c r="T36" s="772" t="s">
        <v>17</v>
      </c>
      <c r="U36" s="773">
        <f t="shared" si="13"/>
        <v>100</v>
      </c>
      <c r="V36" s="772" t="s">
        <v>17</v>
      </c>
      <c r="W36" s="773">
        <f t="shared" si="14"/>
        <v>100</v>
      </c>
      <c r="X36" s="1811"/>
      <c r="Y36" s="3240"/>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0"/>
      <c r="Q37" s="1808" t="str">
        <f t="shared" si="11"/>
        <v>内部装修状况</v>
      </c>
      <c r="R37" s="772" t="s">
        <v>17</v>
      </c>
      <c r="S37" s="773">
        <f t="shared" si="12"/>
        <v>100</v>
      </c>
      <c r="T37" s="772" t="s">
        <v>17</v>
      </c>
      <c r="U37" s="773">
        <f t="shared" si="13"/>
        <v>100</v>
      </c>
      <c r="V37" s="772" t="s">
        <v>17</v>
      </c>
      <c r="W37" s="773">
        <f t="shared" si="14"/>
        <v>100</v>
      </c>
      <c r="X37" s="1811"/>
      <c r="Y37" s="324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0"/>
      <c r="Q38" s="774">
        <f t="shared" si="11"/>
        <v>111</v>
      </c>
      <c r="R38" s="775" t="s">
        <v>17</v>
      </c>
      <c r="S38" s="776">
        <f t="shared" si="12"/>
        <v>100</v>
      </c>
      <c r="T38" s="775" t="s">
        <v>17</v>
      </c>
      <c r="U38" s="776">
        <f t="shared" si="13"/>
        <v>100</v>
      </c>
      <c r="V38" s="775" t="s">
        <v>17</v>
      </c>
      <c r="W38" s="776">
        <f t="shared" si="14"/>
        <v>100</v>
      </c>
      <c r="X38" s="777"/>
      <c r="Y38" s="324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0"/>
      <c r="Q39" s="1808">
        <f t="shared" si="11"/>
        <v>111</v>
      </c>
      <c r="R39" s="772" t="s">
        <v>17</v>
      </c>
      <c r="S39" s="773">
        <f t="shared" si="12"/>
        <v>100</v>
      </c>
      <c r="T39" s="772" t="s">
        <v>17</v>
      </c>
      <c r="U39" s="773">
        <f t="shared" si="13"/>
        <v>100</v>
      </c>
      <c r="V39" s="772" t="s">
        <v>17</v>
      </c>
      <c r="W39" s="773">
        <f t="shared" si="14"/>
        <v>100</v>
      </c>
      <c r="X39" s="1811"/>
      <c r="Y39" s="3240"/>
      <c r="Z39" s="1812">
        <f t="shared" si="15"/>
        <v>111</v>
      </c>
      <c r="AA39" s="1809">
        <f t="shared" si="3"/>
        <v>1</v>
      </c>
      <c r="AB39" s="1809">
        <f t="shared" si="4"/>
        <v>1</v>
      </c>
      <c r="AC39" s="1809">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1"/>
      <c r="Q40" s="1808">
        <f t="shared" si="11"/>
        <v>111</v>
      </c>
      <c r="R40" s="772" t="s">
        <v>17</v>
      </c>
      <c r="S40" s="773">
        <f t="shared" si="12"/>
        <v>100</v>
      </c>
      <c r="T40" s="772" t="s">
        <v>17</v>
      </c>
      <c r="U40" s="773">
        <f t="shared" si="13"/>
        <v>100</v>
      </c>
      <c r="V40" s="772" t="s">
        <v>17</v>
      </c>
      <c r="W40" s="773">
        <f t="shared" si="14"/>
        <v>100</v>
      </c>
      <c r="X40" s="1811"/>
      <c r="Y40" s="3241"/>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242" t="str">
        <f>A41</f>
        <v>成交单价（元/平方米）</v>
      </c>
      <c r="Q41" s="3242"/>
      <c r="R41" s="3243">
        <f>E41</f>
        <v>0</v>
      </c>
      <c r="S41" s="3243"/>
      <c r="T41" s="3243">
        <f>G41</f>
        <v>0</v>
      </c>
      <c r="U41" s="3243"/>
      <c r="V41" s="3243">
        <f>I41</f>
        <v>0</v>
      </c>
      <c r="W41" s="3243"/>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244" t="str">
        <f>A43</f>
        <v>估价对象XX用房的比较价值（楼面单价，元/平方米）</v>
      </c>
      <c r="Q43" s="3245"/>
      <c r="R43" s="3246" t="e">
        <f>IF(F1="售价",ROUND(AVERAGE(R42:V42),0),ROUND(AVERAGE(R42:V42),1))</f>
        <v>#DIV/0!</v>
      </c>
      <c r="S43" s="3246"/>
      <c r="T43" s="3246"/>
      <c r="U43" s="3246"/>
      <c r="V43" s="3246"/>
      <c r="W43" s="324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8"/>
      <c r="B87" s="568"/>
      <c r="C87" s="569"/>
      <c r="D87" s="569"/>
      <c r="E87" s="569"/>
      <c r="F87" s="569"/>
      <c r="G87" s="590"/>
      <c r="H87" s="590"/>
      <c r="I87" s="590"/>
      <c r="J87" s="590"/>
      <c r="K87" s="590"/>
      <c r="L87" s="590"/>
      <c r="M87" s="591"/>
      <c r="N87" s="1151"/>
      <c r="O87" s="1151"/>
      <c r="P87" s="44"/>
      <c r="Q87" s="503"/>
    </row>
    <row r="88" spans="1:17">
      <c r="A88" s="526" t="s">
        <v>2563</v>
      </c>
      <c r="B88" s="527" t="s">
        <v>2612</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2616</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2620</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8"/>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6"/>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8"/>
      <c r="D2" s="1122" t="e">
        <f ca="1">SUMIF(INDIRECT("'"&amp;F2&amp;"'"&amp;"!A:A"),"承租人权益价值",INDIRECT("'"&amp;F2&amp;"'"&amp;"!c:c"))</f>
        <v>#REF!</v>
      </c>
      <c r="E2" s="2589" t="s">
        <v>2328</v>
      </c>
      <c r="F2" s="2590"/>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2" t="s">
        <v>2648</v>
      </c>
      <c r="AC4" s="3201" t="s">
        <v>2649</v>
      </c>
    </row>
    <row r="5" spans="1:29"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2"/>
      <c r="AC5" s="3202"/>
    </row>
    <row r="6" spans="1:29" ht="15.75" thickBot="1">
      <c r="A6" s="405"/>
      <c r="B6" s="406"/>
      <c r="C6" s="3215" t="s">
        <v>2546</v>
      </c>
      <c r="D6" s="3216"/>
      <c r="E6" s="3217" t="s">
        <v>2546</v>
      </c>
      <c r="F6" s="3218"/>
      <c r="G6" s="3215" t="s">
        <v>2546</v>
      </c>
      <c r="H6" s="3216"/>
      <c r="I6" s="3215" t="s">
        <v>2546</v>
      </c>
      <c r="J6" s="3216"/>
      <c r="K6" s="609" t="s">
        <v>2547</v>
      </c>
      <c r="L6" s="1128"/>
      <c r="M6" s="1129"/>
      <c r="N6" s="1129"/>
      <c r="O6" s="1129"/>
      <c r="P6" s="3228"/>
      <c r="Q6" s="3229"/>
      <c r="R6" s="3209"/>
      <c r="S6" s="3210"/>
      <c r="T6" s="3230"/>
      <c r="U6" s="3231"/>
      <c r="V6" s="3204"/>
      <c r="W6" s="3204"/>
      <c r="X6" s="1811"/>
      <c r="Y6" s="3230"/>
      <c r="Z6" s="3231"/>
      <c r="AA6" s="3203"/>
      <c r="AB6" s="3203"/>
      <c r="AC6" s="3203"/>
    </row>
    <row r="7" spans="1:29" s="116" customFormat="1" ht="15.75" thickBot="1">
      <c r="A7" s="407" t="s">
        <v>2548</v>
      </c>
      <c r="B7" s="408"/>
      <c r="C7" s="409">
        <f>'数据-取费表'!B2</f>
        <v>43656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05" t="s">
        <v>2549</v>
      </c>
      <c r="Q7" s="3232"/>
      <c r="R7" s="768" t="s">
        <v>17</v>
      </c>
      <c r="S7" s="769">
        <f t="shared" ref="S7:S14" si="0">F7</f>
        <v>0</v>
      </c>
      <c r="T7" s="768" t="s">
        <v>17</v>
      </c>
      <c r="U7" s="769">
        <f t="shared" ref="U7:U14" si="1">H7</f>
        <v>0</v>
      </c>
      <c r="V7" s="768" t="s">
        <v>17</v>
      </c>
      <c r="W7" s="769">
        <f t="shared" ref="W7:W14" si="2">J7</f>
        <v>0</v>
      </c>
      <c r="X7" s="770"/>
      <c r="Y7" s="3205" t="s">
        <v>2549</v>
      </c>
      <c r="Z7" s="3206"/>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42" t="s">
        <v>2555</v>
      </c>
      <c r="Q9" s="1793" t="str">
        <f t="shared" ref="Q9:Q14" si="6">B9</f>
        <v>用途</v>
      </c>
      <c r="R9" s="768" t="s">
        <v>17</v>
      </c>
      <c r="S9" s="769">
        <f t="shared" si="0"/>
        <v>100</v>
      </c>
      <c r="T9" s="768" t="s">
        <v>17</v>
      </c>
      <c r="U9" s="769">
        <f t="shared" si="1"/>
        <v>100</v>
      </c>
      <c r="V9" s="768" t="s">
        <v>17</v>
      </c>
      <c r="W9" s="769">
        <f t="shared" si="2"/>
        <v>100</v>
      </c>
      <c r="X9" s="770"/>
      <c r="Y9" s="3051" t="s">
        <v>2556</v>
      </c>
      <c r="Z9" s="54"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42"/>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42"/>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42"/>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42"/>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85.5">
      <c r="A14" s="400" t="s">
        <v>2559</v>
      </c>
      <c r="B14" s="628" t="s">
        <v>2709</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5" t="s">
        <v>2560</v>
      </c>
      <c r="Q14" s="1808" t="str">
        <f t="shared" si="6"/>
        <v>交通便捷度</v>
      </c>
      <c r="R14" s="772" t="s">
        <v>17</v>
      </c>
      <c r="S14" s="773">
        <f t="shared" si="0"/>
        <v>100</v>
      </c>
      <c r="T14" s="772" t="s">
        <v>17</v>
      </c>
      <c r="U14" s="773">
        <f t="shared" si="1"/>
        <v>100</v>
      </c>
      <c r="V14" s="772" t="s">
        <v>17</v>
      </c>
      <c r="W14" s="773">
        <f t="shared" si="2"/>
        <v>100</v>
      </c>
      <c r="X14" s="1811"/>
      <c r="Y14" s="3235"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36"/>
      <c r="Q15" s="1808"/>
      <c r="R15" s="772"/>
      <c r="S15" s="773"/>
      <c r="T15" s="772"/>
      <c r="U15" s="773"/>
      <c r="V15" s="772"/>
      <c r="W15" s="773"/>
      <c r="X15" s="1811"/>
      <c r="Y15" s="3236"/>
      <c r="Z15" s="1812"/>
      <c r="AA15" s="1809">
        <v>1</v>
      </c>
      <c r="AB15" s="1809">
        <v>1</v>
      </c>
      <c r="AC15" s="1809">
        <v>1</v>
      </c>
    </row>
    <row r="16" spans="1:29" ht="42.75">
      <c r="A16" s="403"/>
      <c r="B16" s="630" t="s">
        <v>2688</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36"/>
      <c r="Q16" s="1808" t="str">
        <f>B16</f>
        <v>公共配套设施</v>
      </c>
      <c r="R16" s="772" t="s">
        <v>17</v>
      </c>
      <c r="S16" s="773">
        <f>F16</f>
        <v>100</v>
      </c>
      <c r="T16" s="772" t="s">
        <v>17</v>
      </c>
      <c r="U16" s="773">
        <f>H16</f>
        <v>100</v>
      </c>
      <c r="V16" s="772" t="s">
        <v>17</v>
      </c>
      <c r="W16" s="773">
        <f>J16</f>
        <v>100</v>
      </c>
      <c r="X16" s="1811"/>
      <c r="Y16" s="3236"/>
      <c r="Z16" s="1812" t="str">
        <f>Q16</f>
        <v>公共配套设施</v>
      </c>
      <c r="AA16" s="1809">
        <f t="shared" si="3"/>
        <v>1</v>
      </c>
      <c r="AB16" s="1809">
        <f t="shared" si="4"/>
        <v>1</v>
      </c>
      <c r="AC16" s="1809">
        <f t="shared" si="5"/>
        <v>1</v>
      </c>
    </row>
    <row r="17" spans="1:29" ht="15">
      <c r="A17" s="403"/>
      <c r="B17" s="631"/>
      <c r="C17" s="2610"/>
      <c r="D17" s="447"/>
      <c r="E17" s="446"/>
      <c r="F17" s="448"/>
      <c r="G17" s="446"/>
      <c r="H17" s="447"/>
      <c r="I17" s="446"/>
      <c r="J17" s="447"/>
      <c r="K17" s="614"/>
      <c r="L17" s="1138"/>
      <c r="M17" s="1129"/>
      <c r="N17" s="1129"/>
      <c r="O17" s="1129"/>
      <c r="P17" s="3236"/>
      <c r="Q17" s="1808"/>
      <c r="R17" s="772"/>
      <c r="S17" s="773"/>
      <c r="T17" s="772"/>
      <c r="U17" s="773"/>
      <c r="V17" s="772"/>
      <c r="W17" s="773"/>
      <c r="X17" s="1811"/>
      <c r="Y17" s="3236"/>
      <c r="Z17" s="1812"/>
      <c r="AA17" s="1809">
        <v>1</v>
      </c>
      <c r="AB17" s="1809">
        <v>1</v>
      </c>
      <c r="AC17" s="1809">
        <v>1</v>
      </c>
    </row>
    <row r="18" spans="1:29" ht="28.5">
      <c r="A18" s="403"/>
      <c r="B18" s="632" t="s">
        <v>2689</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36"/>
      <c r="Q18" s="1808" t="str">
        <f>B18</f>
        <v>基础设施水平</v>
      </c>
      <c r="R18" s="772" t="s">
        <v>17</v>
      </c>
      <c r="S18" s="773">
        <f>F18</f>
        <v>100</v>
      </c>
      <c r="T18" s="772" t="s">
        <v>17</v>
      </c>
      <c r="U18" s="773">
        <f>H18</f>
        <v>100</v>
      </c>
      <c r="V18" s="772" t="s">
        <v>17</v>
      </c>
      <c r="W18" s="773">
        <f>J18</f>
        <v>100</v>
      </c>
      <c r="X18" s="1811"/>
      <c r="Y18" s="3236"/>
      <c r="Z18" s="1812" t="str">
        <f>Q18</f>
        <v>基础设施水平</v>
      </c>
      <c r="AA18" s="1809">
        <f t="shared" ref="AA18" si="8">D18/F18</f>
        <v>1</v>
      </c>
      <c r="AB18" s="1809">
        <f t="shared" ref="AB18" si="9">D18/H18</f>
        <v>1</v>
      </c>
      <c r="AC18" s="1809">
        <f t="shared" ref="AC18" si="10">D18/J18</f>
        <v>1</v>
      </c>
    </row>
    <row r="19" spans="1:29" ht="15">
      <c r="A19" s="403"/>
      <c r="B19" s="632"/>
      <c r="C19" s="2610"/>
      <c r="D19" s="449"/>
      <c r="E19" s="2610"/>
      <c r="F19" s="452"/>
      <c r="G19" s="2610"/>
      <c r="H19" s="447"/>
      <c r="I19" s="446"/>
      <c r="J19" s="447"/>
      <c r="K19" s="1381"/>
      <c r="L19" s="1138"/>
      <c r="M19" s="1129"/>
      <c r="N19" s="1129"/>
      <c r="O19" s="1129"/>
      <c r="P19" s="3236"/>
      <c r="Q19" s="1808"/>
      <c r="R19" s="772"/>
      <c r="S19" s="773"/>
      <c r="T19" s="772"/>
      <c r="U19" s="773"/>
      <c r="V19" s="772"/>
      <c r="W19" s="773"/>
      <c r="X19" s="1811"/>
      <c r="Y19" s="3236"/>
      <c r="Z19" s="1812"/>
      <c r="AA19" s="1809">
        <v>1</v>
      </c>
      <c r="AB19" s="1809">
        <v>1</v>
      </c>
      <c r="AC19" s="1809">
        <v>1</v>
      </c>
    </row>
    <row r="20" spans="1:29" ht="57">
      <c r="A20" s="403"/>
      <c r="B20" s="630" t="s">
        <v>2710</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36"/>
      <c r="Q20" s="1808" t="str">
        <f>B20</f>
        <v>自然及人文环境</v>
      </c>
      <c r="R20" s="772" t="s">
        <v>17</v>
      </c>
      <c r="S20" s="773">
        <f>F20</f>
        <v>100</v>
      </c>
      <c r="T20" s="772" t="s">
        <v>17</v>
      </c>
      <c r="U20" s="773">
        <f>H20</f>
        <v>100</v>
      </c>
      <c r="V20" s="772" t="s">
        <v>17</v>
      </c>
      <c r="W20" s="773">
        <f>J20</f>
        <v>100</v>
      </c>
      <c r="X20" s="1811"/>
      <c r="Y20" s="3236"/>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36"/>
      <c r="Q21" s="1808"/>
      <c r="R21" s="772"/>
      <c r="S21" s="773"/>
      <c r="T21" s="772"/>
      <c r="U21" s="773"/>
      <c r="V21" s="772"/>
      <c r="W21" s="773"/>
      <c r="X21" s="1811"/>
      <c r="Y21" s="3236"/>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6"/>
      <c r="Q22" s="1808" t="str">
        <f>B22</f>
        <v>楼层</v>
      </c>
      <c r="R22" s="772" t="s">
        <v>17</v>
      </c>
      <c r="S22" s="773">
        <f>F22</f>
        <v>100</v>
      </c>
      <c r="T22" s="772" t="s">
        <v>17</v>
      </c>
      <c r="U22" s="773">
        <f>H22</f>
        <v>100</v>
      </c>
      <c r="V22" s="772" t="s">
        <v>17</v>
      </c>
      <c r="W22" s="773">
        <f>J22</f>
        <v>100</v>
      </c>
      <c r="X22" s="1811"/>
      <c r="Y22" s="3236"/>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6"/>
      <c r="Q23" s="1808">
        <f>B23</f>
        <v>111</v>
      </c>
      <c r="R23" s="772" t="s">
        <v>17</v>
      </c>
      <c r="S23" s="773">
        <f>F23</f>
        <v>100</v>
      </c>
      <c r="T23" s="772" t="s">
        <v>17</v>
      </c>
      <c r="U23" s="773">
        <f>H23</f>
        <v>100</v>
      </c>
      <c r="V23" s="772" t="s">
        <v>17</v>
      </c>
      <c r="W23" s="773">
        <f>J23</f>
        <v>100</v>
      </c>
      <c r="X23" s="1811"/>
      <c r="Y23" s="3236"/>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6"/>
      <c r="Q24" s="1808">
        <f t="shared" ref="Q24:Q36" si="11">B24</f>
        <v>111</v>
      </c>
      <c r="R24" s="772" t="s">
        <v>17</v>
      </c>
      <c r="S24" s="773">
        <f>F24</f>
        <v>100</v>
      </c>
      <c r="T24" s="772" t="s">
        <v>17</v>
      </c>
      <c r="U24" s="773">
        <f>H24</f>
        <v>100</v>
      </c>
      <c r="V24" s="772" t="s">
        <v>17</v>
      </c>
      <c r="W24" s="773">
        <f>J24</f>
        <v>100</v>
      </c>
      <c r="X24" s="1811"/>
      <c r="Y24" s="3236"/>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6"/>
      <c r="Q25" s="1793">
        <f t="shared" si="11"/>
        <v>111</v>
      </c>
      <c r="R25" s="768" t="s">
        <v>17</v>
      </c>
      <c r="S25" s="769">
        <f>F25</f>
        <v>100</v>
      </c>
      <c r="T25" s="768" t="s">
        <v>17</v>
      </c>
      <c r="U25" s="769">
        <f>H25</f>
        <v>100</v>
      </c>
      <c r="V25" s="768" t="s">
        <v>17</v>
      </c>
      <c r="W25" s="769">
        <f>J25</f>
        <v>100</v>
      </c>
      <c r="X25" s="770"/>
      <c r="Y25" s="3236"/>
      <c r="Z25" s="54">
        <f>Q25</f>
        <v>111</v>
      </c>
      <c r="AA25" s="1809">
        <f>D25/F25</f>
        <v>1</v>
      </c>
      <c r="AB25" s="1809">
        <f>D25/H25</f>
        <v>1</v>
      </c>
      <c r="AC25" s="1809">
        <f>D25/J25</f>
        <v>1</v>
      </c>
    </row>
    <row r="26" spans="1:29" ht="28.5">
      <c r="A26" s="651" t="s">
        <v>2563</v>
      </c>
      <c r="B26" s="69" t="s">
        <v>2712</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63"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0"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0"/>
      <c r="Q27" s="774" t="str">
        <f t="shared" si="11"/>
        <v>项目停车位配比</v>
      </c>
      <c r="R27" s="775" t="s">
        <v>17</v>
      </c>
      <c r="S27" s="776">
        <f t="shared" si="12"/>
        <v>100</v>
      </c>
      <c r="T27" s="775" t="s">
        <v>17</v>
      </c>
      <c r="U27" s="776">
        <f t="shared" si="13"/>
        <v>100</v>
      </c>
      <c r="V27" s="775" t="s">
        <v>17</v>
      </c>
      <c r="W27" s="776">
        <f t="shared" si="14"/>
        <v>100</v>
      </c>
      <c r="X27" s="777"/>
      <c r="Y27" s="3240"/>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0"/>
      <c r="Q28" s="1808" t="str">
        <f t="shared" si="11"/>
        <v>公共部分装修</v>
      </c>
      <c r="R28" s="772" t="s">
        <v>17</v>
      </c>
      <c r="S28" s="773">
        <f t="shared" si="12"/>
        <v>100</v>
      </c>
      <c r="T28" s="772" t="s">
        <v>17</v>
      </c>
      <c r="U28" s="773">
        <f t="shared" si="13"/>
        <v>100</v>
      </c>
      <c r="V28" s="772" t="s">
        <v>17</v>
      </c>
      <c r="W28" s="773">
        <f t="shared" si="14"/>
        <v>100</v>
      </c>
      <c r="X28" s="1811"/>
      <c r="Y28" s="3240"/>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0"/>
      <c r="Q29" s="1808" t="str">
        <f t="shared" si="11"/>
        <v>成新率</v>
      </c>
      <c r="R29" s="772" t="s">
        <v>17</v>
      </c>
      <c r="S29" s="773" t="e">
        <f t="shared" si="12"/>
        <v>#N/A</v>
      </c>
      <c r="T29" s="772" t="s">
        <v>17</v>
      </c>
      <c r="U29" s="773" t="e">
        <f t="shared" si="13"/>
        <v>#N/A</v>
      </c>
      <c r="V29" s="772" t="s">
        <v>17</v>
      </c>
      <c r="W29" s="773" t="e">
        <f t="shared" si="14"/>
        <v>#N/A</v>
      </c>
      <c r="X29" s="1811"/>
      <c r="Y29" s="3240"/>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0"/>
      <c r="Q30" s="1808" t="str">
        <f t="shared" si="11"/>
        <v>物业等级</v>
      </c>
      <c r="R30" s="772" t="s">
        <v>17</v>
      </c>
      <c r="S30" s="773">
        <f t="shared" si="12"/>
        <v>100</v>
      </c>
      <c r="T30" s="772" t="s">
        <v>17</v>
      </c>
      <c r="U30" s="773">
        <f t="shared" si="13"/>
        <v>100</v>
      </c>
      <c r="V30" s="772" t="s">
        <v>17</v>
      </c>
      <c r="W30" s="773">
        <f t="shared" si="14"/>
        <v>100</v>
      </c>
      <c r="X30" s="1811"/>
      <c r="Y30" s="3240"/>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0"/>
      <c r="Q31" s="1793" t="str">
        <f t="shared" si="11"/>
        <v>停车位面积</v>
      </c>
      <c r="R31" s="768" t="s">
        <v>17</v>
      </c>
      <c r="S31" s="769" t="e">
        <f t="shared" si="12"/>
        <v>#N/A</v>
      </c>
      <c r="T31" s="768" t="s">
        <v>17</v>
      </c>
      <c r="U31" s="769" t="e">
        <f t="shared" si="13"/>
        <v>#N/A</v>
      </c>
      <c r="V31" s="768" t="s">
        <v>17</v>
      </c>
      <c r="W31" s="769" t="e">
        <f t="shared" si="14"/>
        <v>#N/A</v>
      </c>
      <c r="X31" s="770"/>
      <c r="Y31" s="3240"/>
      <c r="Z31" s="54"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0" t="s">
        <v>2565</v>
      </c>
      <c r="Q32" s="1808" t="str">
        <f t="shared" si="11"/>
        <v>车位类型</v>
      </c>
      <c r="R32" s="772" t="s">
        <v>17</v>
      </c>
      <c r="S32" s="773">
        <f t="shared" si="12"/>
        <v>100</v>
      </c>
      <c r="T32" s="772" t="s">
        <v>17</v>
      </c>
      <c r="U32" s="773">
        <f t="shared" si="13"/>
        <v>100</v>
      </c>
      <c r="V32" s="772" t="s">
        <v>17</v>
      </c>
      <c r="W32" s="773">
        <f t="shared" si="14"/>
        <v>100</v>
      </c>
      <c r="X32" s="1811"/>
      <c r="Y32" s="3240"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0"/>
      <c r="Q33" s="1808" t="str">
        <f t="shared" si="11"/>
        <v>是否直接入户</v>
      </c>
      <c r="R33" s="772" t="s">
        <v>17</v>
      </c>
      <c r="S33" s="773">
        <f t="shared" si="12"/>
        <v>100</v>
      </c>
      <c r="T33" s="772" t="s">
        <v>17</v>
      </c>
      <c r="U33" s="773">
        <f t="shared" si="13"/>
        <v>100</v>
      </c>
      <c r="V33" s="772" t="s">
        <v>17</v>
      </c>
      <c r="W33" s="773">
        <f t="shared" si="14"/>
        <v>100</v>
      </c>
      <c r="X33" s="1811"/>
      <c r="Y33" s="324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0"/>
      <c r="Q34" s="1808">
        <f t="shared" si="11"/>
        <v>111</v>
      </c>
      <c r="R34" s="772" t="s">
        <v>17</v>
      </c>
      <c r="S34" s="773">
        <f t="shared" si="12"/>
        <v>100</v>
      </c>
      <c r="T34" s="772" t="s">
        <v>17</v>
      </c>
      <c r="U34" s="773">
        <f t="shared" si="13"/>
        <v>100</v>
      </c>
      <c r="V34" s="772" t="s">
        <v>17</v>
      </c>
      <c r="W34" s="773">
        <f t="shared" si="14"/>
        <v>100</v>
      </c>
      <c r="X34" s="1811"/>
      <c r="Y34" s="324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0"/>
      <c r="Q35" s="774">
        <f t="shared" si="11"/>
        <v>111</v>
      </c>
      <c r="R35" s="775" t="s">
        <v>17</v>
      </c>
      <c r="S35" s="776">
        <f t="shared" si="12"/>
        <v>100</v>
      </c>
      <c r="T35" s="775" t="s">
        <v>17</v>
      </c>
      <c r="U35" s="776">
        <f t="shared" si="13"/>
        <v>100</v>
      </c>
      <c r="V35" s="775" t="s">
        <v>17</v>
      </c>
      <c r="W35" s="776">
        <f t="shared" si="14"/>
        <v>100</v>
      </c>
      <c r="X35" s="777"/>
      <c r="Y35" s="3240"/>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0"/>
      <c r="Q36" s="1808">
        <f t="shared" si="11"/>
        <v>111</v>
      </c>
      <c r="R36" s="772" t="s">
        <v>17</v>
      </c>
      <c r="S36" s="773">
        <f t="shared" si="12"/>
        <v>100</v>
      </c>
      <c r="T36" s="772" t="s">
        <v>17</v>
      </c>
      <c r="U36" s="773">
        <f t="shared" si="13"/>
        <v>100</v>
      </c>
      <c r="V36" s="772" t="s">
        <v>17</v>
      </c>
      <c r="W36" s="773">
        <f t="shared" si="14"/>
        <v>100</v>
      </c>
      <c r="X36" s="1811"/>
      <c r="Y36" s="3240"/>
      <c r="Z36" s="1812">
        <f t="shared" si="15"/>
        <v>111</v>
      </c>
      <c r="AA36" s="1809">
        <f t="shared" si="3"/>
        <v>1</v>
      </c>
      <c r="AB36" s="1809">
        <f t="shared" si="4"/>
        <v>1</v>
      </c>
      <c r="AC36" s="1809">
        <f t="shared" si="5"/>
        <v>1</v>
      </c>
    </row>
    <row r="37" spans="1:29" ht="15">
      <c r="A37" s="478" t="s">
        <v>2720</v>
      </c>
      <c r="B37" s="2697" t="s">
        <v>2721</v>
      </c>
      <c r="C37" s="1405" t="s">
        <v>1</v>
      </c>
      <c r="D37" s="1406"/>
      <c r="E37" s="1407"/>
      <c r="F37" s="1408"/>
      <c r="G37" s="1409"/>
      <c r="H37" s="1410"/>
      <c r="I37" s="1407"/>
      <c r="J37" s="1410"/>
      <c r="K37" s="618"/>
      <c r="L37" s="1141"/>
      <c r="M37" s="1142"/>
      <c r="N37" s="1129"/>
      <c r="O37" s="1142"/>
      <c r="P37" s="3242" t="str">
        <f>A37</f>
        <v>成交单价</v>
      </c>
      <c r="Q37" s="3242"/>
      <c r="R37" s="3243">
        <f>E37</f>
        <v>0</v>
      </c>
      <c r="S37" s="3243"/>
      <c r="T37" s="3243">
        <f>G37</f>
        <v>0</v>
      </c>
      <c r="U37" s="3243"/>
      <c r="V37" s="3243">
        <f>I37</f>
        <v>0</v>
      </c>
      <c r="W37" s="3243"/>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244" t="str">
        <f>A39</f>
        <v>估价对象XX用房的比较价值（楼面单价，元/平方米）</v>
      </c>
      <c r="Q39" s="3245"/>
      <c r="R39" s="3246" t="e">
        <f>IF(F1="售价",ROUND(AVERAGE(R38:V38),0),ROUND(AVERAGE(R38:V38),1))</f>
        <v>#DIV/0!</v>
      </c>
      <c r="S39" s="3246"/>
      <c r="T39" s="3246"/>
      <c r="U39" s="3246"/>
      <c r="V39" s="3246"/>
      <c r="W39" s="324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4" priority="14" stopIfTrue="1" operator="containsText" text="超过">
      <formula>NOT(ISERROR(SEARCH("超过",F42)))</formula>
    </cfRule>
  </conditionalFormatting>
  <conditionalFormatting sqref="J44">
    <cfRule type="containsText" dxfId="93" priority="13" stopIfTrue="1" operator="containsText" text="超过">
      <formula>NOT(ISERROR(SEARCH("超过",J44)))</formula>
    </cfRule>
  </conditionalFormatting>
  <conditionalFormatting sqref="H44">
    <cfRule type="containsText" dxfId="92" priority="12" stopIfTrue="1" operator="containsText" text="超过">
      <formula>NOT(ISERROR(SEARCH("超过",H44)))</formula>
    </cfRule>
  </conditionalFormatting>
  <conditionalFormatting sqref="F44">
    <cfRule type="containsText" dxfId="91" priority="11" stopIfTrue="1" operator="containsText" text="超过">
      <formula>NOT(ISERROR(SEARCH("超过",F44)))</formula>
    </cfRule>
  </conditionalFormatting>
  <conditionalFormatting sqref="F43 H43 J43">
    <cfRule type="containsText" dxfId="90" priority="10" stopIfTrue="1" operator="containsText" text="超过">
      <formula>NOT(ISERROR(SEARCH("超过",F43)))</formula>
    </cfRule>
  </conditionalFormatting>
  <conditionalFormatting sqref="E42">
    <cfRule type="expression" dxfId="89" priority="9" stopIfTrue="1">
      <formula>$F$42="超过30%"</formula>
    </cfRule>
  </conditionalFormatting>
  <conditionalFormatting sqref="G44">
    <cfRule type="expression" dxfId="88" priority="8" stopIfTrue="1">
      <formula>$H$54+$H$44="超过30%"</formula>
    </cfRule>
  </conditionalFormatting>
  <conditionalFormatting sqref="E43">
    <cfRule type="expression" dxfId="87" priority="7" stopIfTrue="1">
      <formula>$F$43="超过20%"</formula>
    </cfRule>
  </conditionalFormatting>
  <conditionalFormatting sqref="E44">
    <cfRule type="expression" dxfId="86" priority="6" stopIfTrue="1">
      <formula>$F$44="超过30%"</formula>
    </cfRule>
  </conditionalFormatting>
  <conditionalFormatting sqref="G42">
    <cfRule type="expression" dxfId="85" priority="5" stopIfTrue="1">
      <formula>$H$52+$H$42="超过30%"</formula>
    </cfRule>
  </conditionalFormatting>
  <conditionalFormatting sqref="G43">
    <cfRule type="expression" dxfId="84" priority="4" stopIfTrue="1">
      <formula>$H$43="超过20%"</formula>
    </cfRule>
  </conditionalFormatting>
  <conditionalFormatting sqref="I42">
    <cfRule type="expression" dxfId="83" priority="3" stopIfTrue="1">
      <formula>$J$52+$J$42="超过30%"</formula>
    </cfRule>
  </conditionalFormatting>
  <conditionalFormatting sqref="I43">
    <cfRule type="expression" dxfId="82" priority="2" stopIfTrue="1">
      <formula>$J$53+$J$43="超过20%"</formula>
    </cfRule>
  </conditionalFormatting>
  <conditionalFormatting sqref="I44">
    <cfRule type="expression" dxfId="8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估价对象为出让国有建设用地使用权及在建建筑物房地产，为所有。根据《国有土地使用证》[]，估价对象（分摊）出让国有建设用地使用权面积为95.61平方米，建筑面积为2215.16平方米。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办公项目，该项目尚在开发建设中。根据《国有土地使用证》[]，估价对象（分摊）出让国有建设用地使用权面积为95.61平方米，规划建筑面积为2215.16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2019年7月10日（评估专业人员实地查勘之日）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6"/>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8"/>
      <c r="D2" s="1122" t="e">
        <f ca="1">SUMIF(INDIRECT("'"&amp;F2&amp;"'"&amp;"!A:A"),"承租人权益价值",INDIRECT("'"&amp;F2&amp;"'"&amp;"!c:c"))</f>
        <v>#REF!</v>
      </c>
      <c r="E2" s="2589" t="s">
        <v>2328</v>
      </c>
      <c r="F2" s="2590"/>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2" t="s">
        <v>2648</v>
      </c>
      <c r="AC4" s="3201" t="s">
        <v>2649</v>
      </c>
    </row>
    <row r="5" spans="1:29"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2"/>
      <c r="AC5" s="3202"/>
    </row>
    <row r="6" spans="1:29" ht="15.75" thickBot="1">
      <c r="A6" s="405"/>
      <c r="B6" s="406"/>
      <c r="C6" s="3215" t="s">
        <v>2546</v>
      </c>
      <c r="D6" s="3216"/>
      <c r="E6" s="3217" t="s">
        <v>2546</v>
      </c>
      <c r="F6" s="3218"/>
      <c r="G6" s="3215" t="s">
        <v>2546</v>
      </c>
      <c r="H6" s="3216"/>
      <c r="I6" s="3215" t="s">
        <v>2546</v>
      </c>
      <c r="J6" s="3216"/>
      <c r="K6" s="609" t="s">
        <v>2547</v>
      </c>
      <c r="L6" s="1128"/>
      <c r="M6" s="1129"/>
      <c r="N6" s="1129"/>
      <c r="O6" s="1129"/>
      <c r="P6" s="3228"/>
      <c r="Q6" s="3229"/>
      <c r="R6" s="3209"/>
      <c r="S6" s="3210"/>
      <c r="T6" s="3230"/>
      <c r="U6" s="3231"/>
      <c r="V6" s="3204"/>
      <c r="W6" s="3204"/>
      <c r="X6" s="1811"/>
      <c r="Y6" s="3230"/>
      <c r="Z6" s="3231"/>
      <c r="AA6" s="3203"/>
      <c r="AB6" s="3203"/>
      <c r="AC6" s="3203"/>
    </row>
    <row r="7" spans="1:29" s="116" customFormat="1" ht="15.75" thickBot="1">
      <c r="A7" s="407" t="s">
        <v>2548</v>
      </c>
      <c r="B7" s="408"/>
      <c r="C7" s="409">
        <f>'数据-取费表'!B2</f>
        <v>43656</v>
      </c>
      <c r="D7" s="410">
        <v>100</v>
      </c>
      <c r="E7" s="411"/>
      <c r="F7" s="412">
        <f>SUMIF(46:46,YEAR(E7)&amp;"-"&amp;MONTH(E7),47:47)</f>
        <v>0</v>
      </c>
      <c r="G7" s="2698"/>
      <c r="H7" s="410">
        <f>SUMIF(46:46,YEAR(G7)&amp;"-"&amp;MONTH(G7),47:47)</f>
        <v>0</v>
      </c>
      <c r="I7" s="411"/>
      <c r="J7" s="410">
        <f>SUMIF(46:46,YEAR(I7)&amp;"-"&amp;MONTH(I7),47:47)</f>
        <v>0</v>
      </c>
      <c r="K7" s="610"/>
      <c r="L7" s="1130"/>
      <c r="M7" s="1131"/>
      <c r="N7" s="1131"/>
      <c r="O7" s="1131"/>
      <c r="P7" s="3205" t="s">
        <v>2549</v>
      </c>
      <c r="Q7" s="3232"/>
      <c r="R7" s="768" t="s">
        <v>17</v>
      </c>
      <c r="S7" s="769">
        <f t="shared" ref="S7:S14" si="0">F7</f>
        <v>0</v>
      </c>
      <c r="T7" s="768" t="s">
        <v>17</v>
      </c>
      <c r="U7" s="769">
        <f t="shared" ref="U7:U14" si="1">H7</f>
        <v>0</v>
      </c>
      <c r="V7" s="768" t="s">
        <v>17</v>
      </c>
      <c r="W7" s="769">
        <f t="shared" ref="W7:W14" si="2">J7</f>
        <v>0</v>
      </c>
      <c r="X7" s="770"/>
      <c r="Y7" s="3205" t="s">
        <v>2549</v>
      </c>
      <c r="Z7" s="3206"/>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42" t="s">
        <v>2555</v>
      </c>
      <c r="Q9" s="1793" t="str">
        <f t="shared" ref="Q9:Q14" si="6">B9</f>
        <v>用途</v>
      </c>
      <c r="R9" s="768" t="s">
        <v>17</v>
      </c>
      <c r="S9" s="769">
        <f t="shared" si="0"/>
        <v>100</v>
      </c>
      <c r="T9" s="768" t="s">
        <v>17</v>
      </c>
      <c r="U9" s="769">
        <f t="shared" si="1"/>
        <v>100</v>
      </c>
      <c r="V9" s="768" t="s">
        <v>17</v>
      </c>
      <c r="W9" s="769">
        <f t="shared" si="2"/>
        <v>100</v>
      </c>
      <c r="X9" s="770"/>
      <c r="Y9" s="3051" t="s">
        <v>2556</v>
      </c>
      <c r="Z9" s="54"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42"/>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42"/>
      <c r="Q11" s="1793">
        <f t="shared" si="6"/>
        <v>111</v>
      </c>
      <c r="R11" s="768" t="s">
        <v>17</v>
      </c>
      <c r="S11" s="769">
        <f t="shared" si="0"/>
        <v>100</v>
      </c>
      <c r="T11" s="768" t="s">
        <v>17</v>
      </c>
      <c r="U11" s="769">
        <f t="shared" si="1"/>
        <v>100</v>
      </c>
      <c r="V11" s="768" t="s">
        <v>17</v>
      </c>
      <c r="W11" s="769">
        <f t="shared" si="2"/>
        <v>100</v>
      </c>
      <c r="X11" s="770"/>
      <c r="Y11" s="3051"/>
      <c r="Z11" s="54">
        <f t="shared" si="7"/>
        <v>111</v>
      </c>
      <c r="AA11" s="771">
        <f t="shared" si="3"/>
        <v>1</v>
      </c>
      <c r="AB11" s="771">
        <f t="shared" si="4"/>
        <v>1</v>
      </c>
      <c r="AC11" s="771">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42"/>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38"/>
      <c r="M13" s="1129"/>
      <c r="N13" s="1129"/>
      <c r="O13" s="1137"/>
      <c r="P13" s="3242"/>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85.5">
      <c r="A14" s="439" t="s">
        <v>2559</v>
      </c>
      <c r="B14" s="68" t="s">
        <v>2709</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5" t="s">
        <v>2560</v>
      </c>
      <c r="Q14" s="1808" t="str">
        <f t="shared" si="6"/>
        <v>交通便捷度</v>
      </c>
      <c r="R14" s="772" t="s">
        <v>17</v>
      </c>
      <c r="S14" s="773">
        <f t="shared" si="0"/>
        <v>100</v>
      </c>
      <c r="T14" s="772" t="s">
        <v>17</v>
      </c>
      <c r="U14" s="773">
        <f t="shared" si="1"/>
        <v>100</v>
      </c>
      <c r="V14" s="772" t="s">
        <v>17</v>
      </c>
      <c r="W14" s="773">
        <f t="shared" si="2"/>
        <v>100</v>
      </c>
      <c r="X14" s="1811"/>
      <c r="Y14" s="3235"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36"/>
      <c r="Q15" s="1808"/>
      <c r="R15" s="772"/>
      <c r="S15" s="773"/>
      <c r="T15" s="772"/>
      <c r="U15" s="773"/>
      <c r="V15" s="772"/>
      <c r="W15" s="773"/>
      <c r="X15" s="1811"/>
      <c r="Y15" s="3236"/>
      <c r="Z15" s="1812"/>
      <c r="AA15" s="1809">
        <v>1</v>
      </c>
      <c r="AB15" s="1809">
        <v>1</v>
      </c>
      <c r="AC15" s="1809">
        <v>1</v>
      </c>
    </row>
    <row r="16" spans="1:29" ht="42.75">
      <c r="A16" s="427"/>
      <c r="B16" s="450" t="s">
        <v>2688</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6"/>
      <c r="Q16" s="1808" t="str">
        <f>B16</f>
        <v>公共配套设施</v>
      </c>
      <c r="R16" s="772" t="s">
        <v>17</v>
      </c>
      <c r="S16" s="773">
        <f>F16</f>
        <v>100</v>
      </c>
      <c r="T16" s="772" t="s">
        <v>17</v>
      </c>
      <c r="U16" s="773">
        <f>H16</f>
        <v>100</v>
      </c>
      <c r="V16" s="772" t="s">
        <v>17</v>
      </c>
      <c r="W16" s="773">
        <f>J16</f>
        <v>100</v>
      </c>
      <c r="X16" s="1811"/>
      <c r="Y16" s="3236"/>
      <c r="Z16" s="1812" t="str">
        <f>Q16</f>
        <v>公共配套设施</v>
      </c>
      <c r="AA16" s="1809">
        <f t="shared" si="3"/>
        <v>1</v>
      </c>
      <c r="AB16" s="1809">
        <f t="shared" si="4"/>
        <v>1</v>
      </c>
      <c r="AC16" s="1809">
        <f t="shared" si="5"/>
        <v>1</v>
      </c>
    </row>
    <row r="17" spans="1:29" ht="15">
      <c r="A17" s="427"/>
      <c r="B17" s="455"/>
      <c r="C17" s="2610"/>
      <c r="D17" s="447"/>
      <c r="E17" s="446"/>
      <c r="F17" s="448"/>
      <c r="G17" s="446"/>
      <c r="H17" s="447"/>
      <c r="I17" s="446"/>
      <c r="J17" s="447"/>
      <c r="K17" s="614"/>
      <c r="L17" s="1138"/>
      <c r="M17" s="1129"/>
      <c r="N17" s="1129"/>
      <c r="O17" s="1137"/>
      <c r="P17" s="3236"/>
      <c r="Q17" s="1808"/>
      <c r="R17" s="772"/>
      <c r="S17" s="773"/>
      <c r="T17" s="772"/>
      <c r="U17" s="773"/>
      <c r="V17" s="772"/>
      <c r="W17" s="773"/>
      <c r="X17" s="1811"/>
      <c r="Y17" s="3236"/>
      <c r="Z17" s="1812"/>
      <c r="AA17" s="1809">
        <v>1</v>
      </c>
      <c r="AB17" s="1809">
        <v>1</v>
      </c>
      <c r="AC17" s="1809">
        <v>1</v>
      </c>
    </row>
    <row r="18" spans="1:29" ht="28.5">
      <c r="A18" s="427"/>
      <c r="B18" s="1382" t="s">
        <v>2689</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6"/>
      <c r="Q18" s="1808" t="str">
        <f>B18</f>
        <v>基础设施水平</v>
      </c>
      <c r="R18" s="772" t="s">
        <v>17</v>
      </c>
      <c r="S18" s="773">
        <f>F18</f>
        <v>100</v>
      </c>
      <c r="T18" s="772" t="s">
        <v>17</v>
      </c>
      <c r="U18" s="773">
        <f>H18</f>
        <v>100</v>
      </c>
      <c r="V18" s="772" t="s">
        <v>17</v>
      </c>
      <c r="W18" s="773">
        <f>J18</f>
        <v>100</v>
      </c>
      <c r="X18" s="1811"/>
      <c r="Y18" s="3236"/>
      <c r="Z18" s="1812" t="str">
        <f>Q18</f>
        <v>基础设施水平</v>
      </c>
      <c r="AA18" s="1809">
        <f t="shared" ref="AA18" si="8">D18/F18</f>
        <v>1</v>
      </c>
      <c r="AB18" s="1809">
        <f t="shared" ref="AB18" si="9">D18/H18</f>
        <v>1</v>
      </c>
      <c r="AC18" s="1809">
        <f t="shared" ref="AC18" si="10">D18/J18</f>
        <v>1</v>
      </c>
    </row>
    <row r="19" spans="1:29" ht="15">
      <c r="A19" s="427"/>
      <c r="B19" s="1382"/>
      <c r="C19" s="2610"/>
      <c r="D19" s="449"/>
      <c r="E19" s="2610"/>
      <c r="F19" s="452"/>
      <c r="G19" s="2610"/>
      <c r="H19" s="447"/>
      <c r="I19" s="446"/>
      <c r="J19" s="447"/>
      <c r="K19" s="1381"/>
      <c r="L19" s="1138"/>
      <c r="M19" s="1129"/>
      <c r="N19" s="1129"/>
      <c r="O19" s="1137"/>
      <c r="P19" s="3236"/>
      <c r="Q19" s="1808"/>
      <c r="R19" s="772"/>
      <c r="S19" s="773"/>
      <c r="T19" s="772"/>
      <c r="U19" s="773"/>
      <c r="V19" s="772"/>
      <c r="W19" s="773"/>
      <c r="X19" s="1811"/>
      <c r="Y19" s="3236"/>
      <c r="Z19" s="1812"/>
      <c r="AA19" s="1809">
        <v>1</v>
      </c>
      <c r="AB19" s="1809">
        <v>1</v>
      </c>
      <c r="AC19" s="1809">
        <v>1</v>
      </c>
    </row>
    <row r="20" spans="1:29" ht="57">
      <c r="A20" s="427"/>
      <c r="B20" s="450" t="s">
        <v>2710</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6"/>
      <c r="Q20" s="1808" t="str">
        <f>B20</f>
        <v>自然及人文环境</v>
      </c>
      <c r="R20" s="772" t="s">
        <v>17</v>
      </c>
      <c r="S20" s="773">
        <f>F20</f>
        <v>100</v>
      </c>
      <c r="T20" s="772" t="s">
        <v>17</v>
      </c>
      <c r="U20" s="773">
        <f>H20</f>
        <v>100</v>
      </c>
      <c r="V20" s="772" t="s">
        <v>17</v>
      </c>
      <c r="W20" s="773">
        <f>J20</f>
        <v>100</v>
      </c>
      <c r="X20" s="1811"/>
      <c r="Y20" s="323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36"/>
      <c r="Q21" s="1808"/>
      <c r="R21" s="772"/>
      <c r="S21" s="773"/>
      <c r="T21" s="772"/>
      <c r="U21" s="773"/>
      <c r="V21" s="772"/>
      <c r="W21" s="773"/>
      <c r="X21" s="1811"/>
      <c r="Y21" s="3236"/>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6"/>
      <c r="Q22" s="1808" t="str">
        <f>B22</f>
        <v>楼层</v>
      </c>
      <c r="R22" s="772" t="s">
        <v>17</v>
      </c>
      <c r="S22" s="773">
        <f>F22</f>
        <v>100</v>
      </c>
      <c r="T22" s="772" t="s">
        <v>17</v>
      </c>
      <c r="U22" s="773">
        <f>H22</f>
        <v>100</v>
      </c>
      <c r="V22" s="772" t="s">
        <v>17</v>
      </c>
      <c r="W22" s="773">
        <f>J22</f>
        <v>100</v>
      </c>
      <c r="X22" s="1811"/>
      <c r="Y22" s="3236"/>
      <c r="Z22" s="1812" t="str">
        <f>Q22</f>
        <v>楼层</v>
      </c>
      <c r="AA22" s="1809">
        <f t="shared" si="3"/>
        <v>1</v>
      </c>
      <c r="AB22" s="1809">
        <f t="shared" si="4"/>
        <v>1</v>
      </c>
      <c r="AC22" s="1809">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6"/>
      <c r="Q23" s="1808">
        <f>B23</f>
        <v>111</v>
      </c>
      <c r="R23" s="772" t="s">
        <v>17</v>
      </c>
      <c r="S23" s="773">
        <f>F23</f>
        <v>100</v>
      </c>
      <c r="T23" s="772" t="s">
        <v>17</v>
      </c>
      <c r="U23" s="773">
        <f>H23</f>
        <v>100</v>
      </c>
      <c r="V23" s="772" t="s">
        <v>17</v>
      </c>
      <c r="W23" s="773">
        <f>J23</f>
        <v>100</v>
      </c>
      <c r="X23" s="1811"/>
      <c r="Y23" s="3236"/>
      <c r="Z23" s="1812">
        <f>Q23</f>
        <v>111</v>
      </c>
      <c r="AA23" s="1809">
        <f t="shared" si="3"/>
        <v>1</v>
      </c>
      <c r="AB23" s="1809">
        <f t="shared" si="4"/>
        <v>1</v>
      </c>
      <c r="AC23" s="1809">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6"/>
      <c r="Q24" s="1808">
        <f t="shared" ref="Q24:Q34" si="11">B24</f>
        <v>111</v>
      </c>
      <c r="R24" s="772" t="s">
        <v>17</v>
      </c>
      <c r="S24" s="773">
        <f>F24</f>
        <v>100</v>
      </c>
      <c r="T24" s="772" t="s">
        <v>17</v>
      </c>
      <c r="U24" s="773">
        <f>H24</f>
        <v>100</v>
      </c>
      <c r="V24" s="772" t="s">
        <v>17</v>
      </c>
      <c r="W24" s="773">
        <f>J24</f>
        <v>100</v>
      </c>
      <c r="X24" s="1811"/>
      <c r="Y24" s="3236"/>
      <c r="Z24" s="1812">
        <f>Q24</f>
        <v>111</v>
      </c>
      <c r="AA24" s="1809">
        <f t="shared" si="3"/>
        <v>1</v>
      </c>
      <c r="AB24" s="1809">
        <f t="shared" si="4"/>
        <v>1</v>
      </c>
      <c r="AC24" s="1809">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0"/>
      <c r="M25" s="1131"/>
      <c r="N25" s="1131"/>
      <c r="O25" s="1132"/>
      <c r="P25" s="3236"/>
      <c r="Q25" s="1793">
        <f t="shared" si="11"/>
        <v>111</v>
      </c>
      <c r="R25" s="768" t="s">
        <v>17</v>
      </c>
      <c r="S25" s="769">
        <f>F25</f>
        <v>100</v>
      </c>
      <c r="T25" s="768" t="s">
        <v>17</v>
      </c>
      <c r="U25" s="769">
        <f>H25</f>
        <v>100</v>
      </c>
      <c r="V25" s="768" t="s">
        <v>17</v>
      </c>
      <c r="W25" s="769">
        <f>J25</f>
        <v>100</v>
      </c>
      <c r="X25" s="770"/>
      <c r="Y25" s="3236"/>
      <c r="Z25" s="54">
        <f>Q25</f>
        <v>111</v>
      </c>
      <c r="AA25" s="1809">
        <f>D25/F25</f>
        <v>1</v>
      </c>
      <c r="AB25" s="1809">
        <f>D25/H25</f>
        <v>1</v>
      </c>
      <c r="AC25" s="1809">
        <f>D25/J25</f>
        <v>1</v>
      </c>
    </row>
    <row r="26" spans="1:29" ht="28.5">
      <c r="A26" s="465" t="s">
        <v>2563</v>
      </c>
      <c r="B26" s="70" t="s">
        <v>2714</v>
      </c>
      <c r="C26" s="2681"/>
      <c r="D26" s="466">
        <v>100</v>
      </c>
      <c r="E26" s="2681"/>
      <c r="F26" s="666">
        <f>SUMIF(77:77,E26,78:78)-SUMIF(77:77,C26,78:78)+100</f>
        <v>100</v>
      </c>
      <c r="G26" s="2681"/>
      <c r="H26" s="466">
        <f>SUMIF(77:77,G26,78:78)-SUMIF(77:77,C26,78:78)+100</f>
        <v>100</v>
      </c>
      <c r="I26" s="2681"/>
      <c r="J26" s="466">
        <f>SUMIF(77:77,I26,78:78)-SUMIF(77:77,C26,78:78)+100</f>
        <v>100</v>
      </c>
      <c r="K26" s="611"/>
      <c r="L26" s="1138"/>
      <c r="M26" s="1129"/>
      <c r="N26" s="1129"/>
      <c r="O26" s="1137"/>
      <c r="P26" s="3263"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0"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0"/>
      <c r="Q27" s="774" t="str">
        <f t="shared" si="11"/>
        <v>成新率</v>
      </c>
      <c r="R27" s="775" t="s">
        <v>17</v>
      </c>
      <c r="S27" s="776" t="e">
        <f t="shared" si="12"/>
        <v>#N/A</v>
      </c>
      <c r="T27" s="775" t="s">
        <v>17</v>
      </c>
      <c r="U27" s="776" t="e">
        <f t="shared" si="13"/>
        <v>#N/A</v>
      </c>
      <c r="V27" s="775" t="s">
        <v>17</v>
      </c>
      <c r="W27" s="776" t="e">
        <f t="shared" si="14"/>
        <v>#N/A</v>
      </c>
      <c r="X27" s="777"/>
      <c r="Y27" s="3240"/>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0"/>
      <c r="Q28" s="1808" t="str">
        <f t="shared" si="11"/>
        <v>物业等级</v>
      </c>
      <c r="R28" s="772" t="s">
        <v>17</v>
      </c>
      <c r="S28" s="773">
        <f t="shared" si="12"/>
        <v>100</v>
      </c>
      <c r="T28" s="772" t="s">
        <v>17</v>
      </c>
      <c r="U28" s="773">
        <f t="shared" si="13"/>
        <v>100</v>
      </c>
      <c r="V28" s="772" t="s">
        <v>17</v>
      </c>
      <c r="W28" s="773">
        <f t="shared" si="14"/>
        <v>100</v>
      </c>
      <c r="X28" s="1811"/>
      <c r="Y28" s="3240"/>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0"/>
      <c r="Q29" s="1808" t="str">
        <f t="shared" si="11"/>
        <v>有无电梯</v>
      </c>
      <c r="R29" s="772" t="s">
        <v>17</v>
      </c>
      <c r="S29" s="773">
        <f t="shared" si="12"/>
        <v>100</v>
      </c>
      <c r="T29" s="772" t="s">
        <v>17</v>
      </c>
      <c r="U29" s="773">
        <f t="shared" si="13"/>
        <v>100</v>
      </c>
      <c r="V29" s="772" t="s">
        <v>17</v>
      </c>
      <c r="W29" s="773">
        <f t="shared" si="14"/>
        <v>100</v>
      </c>
      <c r="X29" s="1811"/>
      <c r="Y29" s="3240"/>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0"/>
      <c r="Q30" s="1808" t="str">
        <f t="shared" si="11"/>
        <v>建筑面积</v>
      </c>
      <c r="R30" s="772" t="s">
        <v>17</v>
      </c>
      <c r="S30" s="773" t="e">
        <f t="shared" si="12"/>
        <v>#N/A</v>
      </c>
      <c r="T30" s="772" t="s">
        <v>17</v>
      </c>
      <c r="U30" s="773" t="e">
        <f t="shared" si="13"/>
        <v>#N/A</v>
      </c>
      <c r="V30" s="772" t="s">
        <v>17</v>
      </c>
      <c r="W30" s="773" t="e">
        <f t="shared" si="14"/>
        <v>#N/A</v>
      </c>
      <c r="X30" s="1811"/>
      <c r="Y30" s="3240"/>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0"/>
      <c r="Q31" s="1793" t="str">
        <f t="shared" si="11"/>
        <v>是否封闭</v>
      </c>
      <c r="R31" s="768" t="s">
        <v>17</v>
      </c>
      <c r="S31" s="769">
        <f t="shared" si="12"/>
        <v>100</v>
      </c>
      <c r="T31" s="768" t="s">
        <v>17</v>
      </c>
      <c r="U31" s="769">
        <f t="shared" si="13"/>
        <v>100</v>
      </c>
      <c r="V31" s="768" t="s">
        <v>17</v>
      </c>
      <c r="W31" s="769">
        <f t="shared" si="14"/>
        <v>100</v>
      </c>
      <c r="X31" s="770"/>
      <c r="Y31" s="3240"/>
      <c r="Z31" s="54" t="str">
        <f t="shared" si="15"/>
        <v>是否封闭</v>
      </c>
      <c r="AA31" s="771">
        <f t="shared" si="3"/>
        <v>1</v>
      </c>
      <c r="AB31" s="771">
        <f t="shared" si="4"/>
        <v>1</v>
      </c>
      <c r="AC31" s="771">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0" t="s">
        <v>2565</v>
      </c>
      <c r="Q32" s="1808">
        <f t="shared" si="11"/>
        <v>111</v>
      </c>
      <c r="R32" s="772" t="s">
        <v>17</v>
      </c>
      <c r="S32" s="773">
        <f t="shared" si="12"/>
        <v>100</v>
      </c>
      <c r="T32" s="772" t="s">
        <v>17</v>
      </c>
      <c r="U32" s="773">
        <f t="shared" si="13"/>
        <v>100</v>
      </c>
      <c r="V32" s="772" t="s">
        <v>17</v>
      </c>
      <c r="W32" s="773">
        <f t="shared" si="14"/>
        <v>100</v>
      </c>
      <c r="X32" s="1811"/>
      <c r="Y32" s="3240" t="s">
        <v>2565</v>
      </c>
      <c r="Z32" s="1812">
        <f t="shared" si="15"/>
        <v>111</v>
      </c>
      <c r="AA32" s="1809">
        <f t="shared" si="3"/>
        <v>1</v>
      </c>
      <c r="AB32" s="1809">
        <f t="shared" si="4"/>
        <v>1</v>
      </c>
      <c r="AC32" s="1809">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0"/>
      <c r="Q33" s="1808">
        <f t="shared" si="11"/>
        <v>111</v>
      </c>
      <c r="R33" s="772" t="s">
        <v>17</v>
      </c>
      <c r="S33" s="773">
        <f t="shared" si="12"/>
        <v>100</v>
      </c>
      <c r="T33" s="772" t="s">
        <v>17</v>
      </c>
      <c r="U33" s="773">
        <f t="shared" si="13"/>
        <v>100</v>
      </c>
      <c r="V33" s="772" t="s">
        <v>17</v>
      </c>
      <c r="W33" s="773">
        <f t="shared" si="14"/>
        <v>100</v>
      </c>
      <c r="X33" s="1811"/>
      <c r="Y33" s="3240"/>
      <c r="Z33" s="1812">
        <f t="shared" si="15"/>
        <v>111</v>
      </c>
      <c r="AA33" s="1809">
        <f t="shared" si="3"/>
        <v>1</v>
      </c>
      <c r="AB33" s="1809">
        <f t="shared" si="4"/>
        <v>1</v>
      </c>
      <c r="AC33" s="1809">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38"/>
      <c r="M34" s="1129"/>
      <c r="N34" s="1129"/>
      <c r="O34" s="1137"/>
      <c r="P34" s="3240"/>
      <c r="Q34" s="1808">
        <f t="shared" si="11"/>
        <v>111</v>
      </c>
      <c r="R34" s="772" t="s">
        <v>17</v>
      </c>
      <c r="S34" s="773">
        <f t="shared" si="12"/>
        <v>100</v>
      </c>
      <c r="T34" s="772" t="s">
        <v>17</v>
      </c>
      <c r="U34" s="773">
        <f t="shared" si="13"/>
        <v>100</v>
      </c>
      <c r="V34" s="772" t="s">
        <v>17</v>
      </c>
      <c r="W34" s="773">
        <f t="shared" si="14"/>
        <v>100</v>
      </c>
      <c r="X34" s="1811"/>
      <c r="Y34" s="3240"/>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242" t="str">
        <f>A35</f>
        <v>成交单价（元/平方米）</v>
      </c>
      <c r="Q35" s="3242"/>
      <c r="R35" s="3243">
        <f>E35</f>
        <v>0</v>
      </c>
      <c r="S35" s="3243"/>
      <c r="T35" s="3243">
        <f>G35</f>
        <v>0</v>
      </c>
      <c r="U35" s="3243"/>
      <c r="V35" s="3243">
        <f>I35</f>
        <v>0</v>
      </c>
      <c r="W35" s="3243"/>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244" t="str">
        <f>A37</f>
        <v>估价对象XX用房的比较价值（楼面单价，元/平方米）</v>
      </c>
      <c r="Q37" s="3245"/>
      <c r="R37" s="3246" t="e">
        <f>IF(F1="售价",ROUND(AVERAGE(R36:V36),0),ROUND(AVERAGE(R36:V36),1))</f>
        <v>#DIV/0!</v>
      </c>
      <c r="S37" s="3246"/>
      <c r="T37" s="3246"/>
      <c r="U37" s="3246"/>
      <c r="V37" s="3246"/>
      <c r="W37" s="324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2729</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2741</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0" priority="14" stopIfTrue="1" operator="containsText" text="超过">
      <formula>NOT(ISERROR(SEARCH("超过",F40)))</formula>
    </cfRule>
  </conditionalFormatting>
  <conditionalFormatting sqref="J42">
    <cfRule type="containsText" dxfId="79" priority="13" stopIfTrue="1" operator="containsText" text="超过">
      <formula>NOT(ISERROR(SEARCH("超过",J42)))</formula>
    </cfRule>
  </conditionalFormatting>
  <conditionalFormatting sqref="H42">
    <cfRule type="containsText" dxfId="78" priority="12" stopIfTrue="1" operator="containsText" text="超过">
      <formula>NOT(ISERROR(SEARCH("超过",H42)))</formula>
    </cfRule>
  </conditionalFormatting>
  <conditionalFormatting sqref="F42">
    <cfRule type="containsText" dxfId="77" priority="11" stopIfTrue="1" operator="containsText" text="超过">
      <formula>NOT(ISERROR(SEARCH("超过",F42)))</formula>
    </cfRule>
  </conditionalFormatting>
  <conditionalFormatting sqref="F41 H41 J41">
    <cfRule type="containsText" dxfId="76" priority="10" stopIfTrue="1" operator="containsText" text="超过">
      <formula>NOT(ISERROR(SEARCH("超过",F41)))</formula>
    </cfRule>
  </conditionalFormatting>
  <conditionalFormatting sqref="E40">
    <cfRule type="expression" dxfId="75" priority="9" stopIfTrue="1">
      <formula>$F$40="超过30%"</formula>
    </cfRule>
  </conditionalFormatting>
  <conditionalFormatting sqref="G42">
    <cfRule type="expression" dxfId="74" priority="8" stopIfTrue="1">
      <formula>$H$54+$H$42="超过30%"</formula>
    </cfRule>
  </conditionalFormatting>
  <conditionalFormatting sqref="E41">
    <cfRule type="expression" dxfId="73" priority="7" stopIfTrue="1">
      <formula>$F$41="超过20%"</formula>
    </cfRule>
  </conditionalFormatting>
  <conditionalFormatting sqref="E42">
    <cfRule type="expression" dxfId="72" priority="6" stopIfTrue="1">
      <formula>$F$42="超过30%"</formula>
    </cfRule>
  </conditionalFormatting>
  <conditionalFormatting sqref="G40">
    <cfRule type="expression" dxfId="71" priority="5" stopIfTrue="1">
      <formula>$H$52+$H$40="超过30%"</formula>
    </cfRule>
  </conditionalFormatting>
  <conditionalFormatting sqref="G41">
    <cfRule type="expression" dxfId="70" priority="4" stopIfTrue="1">
      <formula>$H$53+$H$41="超过20%"</formula>
    </cfRule>
  </conditionalFormatting>
  <conditionalFormatting sqref="I40">
    <cfRule type="expression" dxfId="69" priority="3" stopIfTrue="1">
      <formula>$J$40="超过30%"</formula>
    </cfRule>
  </conditionalFormatting>
  <conditionalFormatting sqref="I41">
    <cfRule type="expression" dxfId="68" priority="2" stopIfTrue="1">
      <formula>$J$41="超过20%"</formula>
    </cfRule>
  </conditionalFormatting>
  <conditionalFormatting sqref="I42">
    <cfRule type="expression" dxfId="6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2" t="s">
        <v>2648</v>
      </c>
      <c r="AC4" s="3201" t="s">
        <v>2649</v>
      </c>
    </row>
    <row r="5" spans="1:30"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2"/>
      <c r="AC5" s="3202"/>
    </row>
    <row r="6" spans="1:30" ht="15.75" thickBot="1">
      <c r="A6" s="405"/>
      <c r="B6" s="406"/>
      <c r="C6" s="3215" t="s">
        <v>2546</v>
      </c>
      <c r="D6" s="3216"/>
      <c r="E6" s="3217" t="s">
        <v>2546</v>
      </c>
      <c r="F6" s="3218"/>
      <c r="G6" s="3215" t="s">
        <v>2546</v>
      </c>
      <c r="H6" s="3216"/>
      <c r="I6" s="3215" t="s">
        <v>2546</v>
      </c>
      <c r="J6" s="3216"/>
      <c r="K6" s="609" t="s">
        <v>2547</v>
      </c>
      <c r="L6" s="1128"/>
      <c r="M6" s="1129"/>
      <c r="N6" s="1129"/>
      <c r="O6" s="1129"/>
      <c r="P6" s="3228"/>
      <c r="Q6" s="3229"/>
      <c r="R6" s="3209"/>
      <c r="S6" s="3210"/>
      <c r="T6" s="3230"/>
      <c r="U6" s="3231"/>
      <c r="V6" s="3204"/>
      <c r="W6" s="3204"/>
      <c r="X6" s="1811"/>
      <c r="Y6" s="3230"/>
      <c r="Z6" s="3231"/>
      <c r="AA6" s="3203"/>
      <c r="AB6" s="3203"/>
      <c r="AC6" s="3203"/>
    </row>
    <row r="7" spans="1:30" s="116" customFormat="1" ht="15.75" thickBot="1">
      <c r="A7" s="407" t="s">
        <v>2548</v>
      </c>
      <c r="B7" s="408"/>
      <c r="C7" s="409">
        <f>'数据-取费表'!B2</f>
        <v>43656</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0"/>
      <c r="M7" s="1131"/>
      <c r="N7" s="1131"/>
      <c r="O7" s="1131"/>
      <c r="P7" s="3205" t="s">
        <v>2549</v>
      </c>
      <c r="Q7" s="3232"/>
      <c r="R7" s="768" t="s">
        <v>17</v>
      </c>
      <c r="S7" s="769">
        <f t="shared" ref="S7:S15" si="0">F7</f>
        <v>0</v>
      </c>
      <c r="T7" s="768" t="s">
        <v>17</v>
      </c>
      <c r="U7" s="769">
        <f t="shared" ref="U7:U15" si="1">H7</f>
        <v>0</v>
      </c>
      <c r="V7" s="768" t="s">
        <v>17</v>
      </c>
      <c r="W7" s="769">
        <f t="shared" ref="W7:W15" si="2">J7</f>
        <v>0</v>
      </c>
      <c r="X7" s="770"/>
      <c r="Y7" s="3205" t="s">
        <v>2549</v>
      </c>
      <c r="Z7" s="3206"/>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45" si="3">D8/F8</f>
        <v>#DIV/0!</v>
      </c>
      <c r="AB8" s="771" t="e">
        <f t="shared" ref="AB8:AB45" si="4">D8/H8</f>
        <v>#DIV/0!</v>
      </c>
      <c r="AC8" s="771" t="e">
        <f t="shared" ref="AC8:AC45" si="5">D8/J8</f>
        <v>#DIV/0!</v>
      </c>
    </row>
    <row r="9" spans="1:30" s="116" customFormat="1">
      <c r="A9" s="414" t="s">
        <v>2553</v>
      </c>
      <c r="B9" s="70" t="s">
        <v>2554</v>
      </c>
      <c r="C9" s="2701"/>
      <c r="D9" s="134">
        <v>100</v>
      </c>
      <c r="E9" s="2701"/>
      <c r="F9" s="134">
        <f>SUMIF(75:75,E9,76:76)-SUMIF(75:75,C9,76:76)+100</f>
        <v>100</v>
      </c>
      <c r="G9" s="2701"/>
      <c r="H9" s="134">
        <f>SUMIF(75:75,G9,76:76)-SUMIF(75:75,C9,76:76)+100</f>
        <v>100</v>
      </c>
      <c r="I9" s="2701"/>
      <c r="J9" s="134">
        <f>SUMIF(75:75,I9,76:76)-SUMIF(75:75,C9,76:76)+100</f>
        <v>100</v>
      </c>
      <c r="K9" s="610"/>
      <c r="L9" s="1130"/>
      <c r="M9" s="1131"/>
      <c r="N9" s="1131"/>
      <c r="O9" s="1132"/>
      <c r="P9" s="3242"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117</v>
      </c>
      <c r="G10" s="462"/>
      <c r="H10" s="135">
        <f>ROUND(100/'数据-取费表'!G16,0)</f>
        <v>117</v>
      </c>
      <c r="I10" s="462"/>
      <c r="J10" s="135">
        <f>ROUND(100/'数据-取费表'!G16,0)</f>
        <v>117</v>
      </c>
      <c r="K10" s="671"/>
      <c r="L10" s="1133"/>
      <c r="M10" s="1134"/>
      <c r="N10" s="1134"/>
      <c r="O10" s="1135"/>
      <c r="P10" s="3242"/>
      <c r="Q10" s="1793" t="str">
        <f t="shared" si="6"/>
        <v>土地使用年限（年）</v>
      </c>
      <c r="R10" s="768" t="s">
        <v>17</v>
      </c>
      <c r="S10" s="769">
        <f t="shared" si="0"/>
        <v>117</v>
      </c>
      <c r="T10" s="768" t="s">
        <v>17</v>
      </c>
      <c r="U10" s="769">
        <f t="shared" si="1"/>
        <v>117</v>
      </c>
      <c r="V10" s="768" t="s">
        <v>17</v>
      </c>
      <c r="W10" s="769">
        <f t="shared" si="2"/>
        <v>117</v>
      </c>
      <c r="X10" s="770"/>
      <c r="Y10" s="3051"/>
      <c r="Z10" s="54" t="str">
        <f t="shared" si="7"/>
        <v>土地使用年限（年）</v>
      </c>
      <c r="AA10" s="771">
        <f t="shared" si="3"/>
        <v>0.85470085470085466</v>
      </c>
      <c r="AB10" s="771">
        <f t="shared" si="4"/>
        <v>0.85470085470085466</v>
      </c>
      <c r="AC10" s="771">
        <f t="shared" si="5"/>
        <v>0.85470085470085466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42"/>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30" s="116" customFormat="1" ht="15">
      <c r="A12" s="430"/>
      <c r="B12" s="2602"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42"/>
      <c r="Q12" s="1793" t="str">
        <f t="shared" si="6"/>
        <v>配建</v>
      </c>
      <c r="R12" s="768" t="s">
        <v>17</v>
      </c>
      <c r="S12" s="769">
        <f t="shared" si="0"/>
        <v>100</v>
      </c>
      <c r="T12" s="768" t="s">
        <v>17</v>
      </c>
      <c r="U12" s="769">
        <f t="shared" si="1"/>
        <v>100</v>
      </c>
      <c r="V12" s="768" t="s">
        <v>17</v>
      </c>
      <c r="W12" s="769">
        <f t="shared" si="2"/>
        <v>100</v>
      </c>
      <c r="X12" s="770"/>
      <c r="Y12" s="3051"/>
      <c r="Z12" s="54" t="str">
        <f t="shared" si="7"/>
        <v>配建</v>
      </c>
      <c r="AA12" s="771">
        <f>D12/F12</f>
        <v>1</v>
      </c>
      <c r="AB12" s="771">
        <f>D12/H12</f>
        <v>1</v>
      </c>
      <c r="AC12" s="771">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42"/>
      <c r="Q13" s="1793">
        <f t="shared" si="6"/>
        <v>111</v>
      </c>
      <c r="R13" s="768" t="s">
        <v>17</v>
      </c>
      <c r="S13" s="769">
        <f t="shared" si="0"/>
        <v>100</v>
      </c>
      <c r="T13" s="768" t="s">
        <v>17</v>
      </c>
      <c r="U13" s="769">
        <f t="shared" si="1"/>
        <v>100</v>
      </c>
      <c r="V13" s="768" t="s">
        <v>17</v>
      </c>
      <c r="W13" s="769">
        <f t="shared" si="2"/>
        <v>100</v>
      </c>
      <c r="X13" s="770"/>
      <c r="Y13" s="3051"/>
      <c r="Z13" s="54">
        <f t="shared" si="7"/>
        <v>111</v>
      </c>
      <c r="AA13" s="771">
        <f>D13/F13</f>
        <v>1</v>
      </c>
      <c r="AB13" s="771">
        <f>D13/H13</f>
        <v>1</v>
      </c>
      <c r="AC13" s="771">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42"/>
      <c r="Q14" s="1793">
        <f t="shared" si="6"/>
        <v>111</v>
      </c>
      <c r="R14" s="768" t="s">
        <v>17</v>
      </c>
      <c r="S14" s="769">
        <f t="shared" si="0"/>
        <v>100</v>
      </c>
      <c r="T14" s="768" t="s">
        <v>17</v>
      </c>
      <c r="U14" s="769">
        <f t="shared" si="1"/>
        <v>100</v>
      </c>
      <c r="V14" s="768" t="s">
        <v>17</v>
      </c>
      <c r="W14" s="769">
        <f t="shared" si="2"/>
        <v>100</v>
      </c>
      <c r="X14" s="770"/>
      <c r="Y14" s="3051"/>
      <c r="Z14" s="54">
        <f t="shared" si="7"/>
        <v>111</v>
      </c>
      <c r="AA14" s="771">
        <f>D14/F14</f>
        <v>1</v>
      </c>
      <c r="AB14" s="771">
        <f>D14/H14</f>
        <v>1</v>
      </c>
      <c r="AC14" s="771">
        <f>D14/J14</f>
        <v>1</v>
      </c>
    </row>
    <row r="15" spans="1:30" ht="99.75">
      <c r="A15" s="439" t="s">
        <v>2559</v>
      </c>
      <c r="B15" s="68" t="s">
        <v>2083</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35" t="s">
        <v>2560</v>
      </c>
      <c r="Q15" s="1808" t="str">
        <f t="shared" si="6"/>
        <v>居住社区成熟度</v>
      </c>
      <c r="R15" s="772" t="s">
        <v>17</v>
      </c>
      <c r="S15" s="773">
        <f t="shared" si="0"/>
        <v>100</v>
      </c>
      <c r="T15" s="772" t="s">
        <v>17</v>
      </c>
      <c r="U15" s="773">
        <f t="shared" si="1"/>
        <v>100</v>
      </c>
      <c r="V15" s="772" t="s">
        <v>17</v>
      </c>
      <c r="W15" s="773">
        <f t="shared" si="2"/>
        <v>100</v>
      </c>
      <c r="X15" s="1811"/>
      <c r="Y15" s="3235" t="s">
        <v>2560</v>
      </c>
      <c r="Z15" s="1812" t="str">
        <f t="shared" si="7"/>
        <v>居住社区成熟度</v>
      </c>
      <c r="AA15" s="1809">
        <f t="shared" si="3"/>
        <v>1</v>
      </c>
      <c r="AB15" s="1809">
        <f t="shared" si="4"/>
        <v>1</v>
      </c>
      <c r="AC15" s="1809">
        <f t="shared" si="5"/>
        <v>1</v>
      </c>
    </row>
    <row r="16" spans="1:30" ht="15">
      <c r="A16" s="427"/>
      <c r="B16" s="445"/>
      <c r="C16" s="446"/>
      <c r="D16" s="447"/>
      <c r="E16" s="2607"/>
      <c r="F16" s="447"/>
      <c r="G16" s="2607"/>
      <c r="H16" s="449"/>
      <c r="I16" s="2606"/>
      <c r="J16" s="447"/>
      <c r="K16" s="671"/>
      <c r="L16" s="1138"/>
      <c r="M16" s="1129"/>
      <c r="N16" s="1129"/>
      <c r="O16" s="1137"/>
      <c r="P16" s="3236"/>
      <c r="Q16" s="1808"/>
      <c r="R16" s="772"/>
      <c r="S16" s="773"/>
      <c r="T16" s="772"/>
      <c r="U16" s="773"/>
      <c r="V16" s="772"/>
      <c r="W16" s="773"/>
      <c r="X16" s="1811"/>
      <c r="Y16" s="3236"/>
      <c r="Z16" s="1812"/>
      <c r="AA16" s="1809">
        <v>1</v>
      </c>
      <c r="AB16" s="1809">
        <v>1</v>
      </c>
      <c r="AC16" s="1809">
        <v>1</v>
      </c>
    </row>
    <row r="17" spans="1:29" ht="71.25">
      <c r="A17" s="427"/>
      <c r="B17" s="450" t="s">
        <v>2653</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36"/>
      <c r="Q17" s="1808" t="str">
        <f>B17</f>
        <v>商业繁华度</v>
      </c>
      <c r="R17" s="772" t="s">
        <v>17</v>
      </c>
      <c r="S17" s="773">
        <f>F17</f>
        <v>100</v>
      </c>
      <c r="T17" s="772" t="s">
        <v>17</v>
      </c>
      <c r="U17" s="773">
        <f>H17</f>
        <v>100</v>
      </c>
      <c r="V17" s="772" t="s">
        <v>17</v>
      </c>
      <c r="W17" s="773">
        <f>J17</f>
        <v>100</v>
      </c>
      <c r="X17" s="1811"/>
      <c r="Y17" s="3236"/>
      <c r="Z17" s="1812" t="str">
        <f>Q17</f>
        <v>商业繁华度</v>
      </c>
      <c r="AA17" s="1809">
        <f t="shared" si="3"/>
        <v>1</v>
      </c>
      <c r="AB17" s="1809">
        <f t="shared" si="4"/>
        <v>1</v>
      </c>
      <c r="AC17" s="1809">
        <f t="shared" si="5"/>
        <v>1</v>
      </c>
    </row>
    <row r="18" spans="1:29" ht="15">
      <c r="A18" s="427"/>
      <c r="B18" s="455"/>
      <c r="C18" s="2610"/>
      <c r="D18" s="449"/>
      <c r="E18" s="2612"/>
      <c r="F18" s="449"/>
      <c r="G18" s="2612"/>
      <c r="H18" s="447"/>
      <c r="I18" s="2611"/>
      <c r="J18" s="447"/>
      <c r="K18" s="671"/>
      <c r="L18" s="1138"/>
      <c r="M18" s="1129"/>
      <c r="N18" s="1129"/>
      <c r="O18" s="1137"/>
      <c r="P18" s="3236"/>
      <c r="Q18" s="1808"/>
      <c r="R18" s="772"/>
      <c r="S18" s="773"/>
      <c r="T18" s="772"/>
      <c r="U18" s="773"/>
      <c r="V18" s="772"/>
      <c r="W18" s="773"/>
      <c r="X18" s="1811"/>
      <c r="Y18" s="3236"/>
      <c r="Z18" s="1812"/>
      <c r="AA18" s="1809">
        <v>1</v>
      </c>
      <c r="AB18" s="1809">
        <v>1</v>
      </c>
      <c r="AC18" s="1809">
        <v>1</v>
      </c>
    </row>
    <row r="19" spans="1:29" ht="71.25">
      <c r="A19" s="427"/>
      <c r="B19" s="450" t="s">
        <v>2687</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6"/>
      <c r="Q19" s="1808" t="str">
        <f>B19</f>
        <v>办公集聚程度</v>
      </c>
      <c r="R19" s="772" t="s">
        <v>17</v>
      </c>
      <c r="S19" s="773">
        <f>F19</f>
        <v>100</v>
      </c>
      <c r="T19" s="772" t="s">
        <v>17</v>
      </c>
      <c r="U19" s="773">
        <f>H19</f>
        <v>100</v>
      </c>
      <c r="V19" s="772" t="s">
        <v>17</v>
      </c>
      <c r="W19" s="773">
        <f>J19</f>
        <v>100</v>
      </c>
      <c r="X19" s="1811"/>
      <c r="Y19" s="3236"/>
      <c r="Z19" s="1812" t="str">
        <f>Q19</f>
        <v>办公集聚程度</v>
      </c>
      <c r="AA19" s="1809">
        <f t="shared" si="3"/>
        <v>1</v>
      </c>
      <c r="AB19" s="1809">
        <f t="shared" si="4"/>
        <v>1</v>
      </c>
      <c r="AC19" s="1809">
        <f t="shared" si="5"/>
        <v>1</v>
      </c>
    </row>
    <row r="20" spans="1:29" ht="15">
      <c r="A20" s="427"/>
      <c r="B20" s="455"/>
      <c r="C20" s="446"/>
      <c r="D20" s="447"/>
      <c r="E20" s="2607"/>
      <c r="F20" s="447"/>
      <c r="G20" s="2607"/>
      <c r="H20" s="447"/>
      <c r="I20" s="2606"/>
      <c r="J20" s="447"/>
      <c r="K20" s="671"/>
      <c r="L20" s="1138"/>
      <c r="M20" s="1129"/>
      <c r="N20" s="1129"/>
      <c r="O20" s="1137"/>
      <c r="P20" s="3236"/>
      <c r="Q20" s="1808"/>
      <c r="R20" s="772"/>
      <c r="S20" s="773"/>
      <c r="T20" s="772"/>
      <c r="U20" s="773"/>
      <c r="V20" s="772"/>
      <c r="W20" s="773"/>
      <c r="X20" s="1811"/>
      <c r="Y20" s="3236"/>
      <c r="Z20" s="1812"/>
      <c r="AA20" s="1809">
        <v>1</v>
      </c>
      <c r="AB20" s="1809">
        <v>1</v>
      </c>
      <c r="AC20" s="1809">
        <v>1</v>
      </c>
    </row>
    <row r="21" spans="1:29" ht="85.5">
      <c r="A21" s="427"/>
      <c r="B21" s="450" t="s">
        <v>2709</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36"/>
      <c r="Q21" s="1808" t="str">
        <f>B21</f>
        <v>交通便捷度</v>
      </c>
      <c r="R21" s="772" t="s">
        <v>17</v>
      </c>
      <c r="S21" s="773">
        <f>F21</f>
        <v>100</v>
      </c>
      <c r="T21" s="772" t="s">
        <v>17</v>
      </c>
      <c r="U21" s="773">
        <f>H21</f>
        <v>100</v>
      </c>
      <c r="V21" s="772" t="s">
        <v>17</v>
      </c>
      <c r="W21" s="773">
        <f>J21</f>
        <v>100</v>
      </c>
      <c r="X21" s="1811"/>
      <c r="Y21" s="3236"/>
      <c r="Z21" s="1812" t="str">
        <f>Q21</f>
        <v>交通便捷度</v>
      </c>
      <c r="AA21" s="1809">
        <f t="shared" si="3"/>
        <v>1</v>
      </c>
      <c r="AB21" s="1809">
        <f t="shared" si="4"/>
        <v>1</v>
      </c>
      <c r="AC21" s="1809">
        <f t="shared" si="5"/>
        <v>1</v>
      </c>
    </row>
    <row r="22" spans="1:29" ht="15">
      <c r="A22" s="427"/>
      <c r="B22" s="1382"/>
      <c r="C22" s="446"/>
      <c r="D22" s="449"/>
      <c r="E22" s="2607"/>
      <c r="F22" s="447"/>
      <c r="G22" s="2607"/>
      <c r="H22" s="447"/>
      <c r="I22" s="2606"/>
      <c r="J22" s="447"/>
      <c r="K22" s="671"/>
      <c r="L22" s="1138"/>
      <c r="M22" s="1129"/>
      <c r="N22" s="1129"/>
      <c r="O22" s="1137"/>
      <c r="P22" s="3236"/>
      <c r="Q22" s="1808"/>
      <c r="R22" s="772"/>
      <c r="S22" s="773"/>
      <c r="T22" s="772"/>
      <c r="U22" s="773"/>
      <c r="V22" s="772"/>
      <c r="W22" s="773"/>
      <c r="X22" s="1811"/>
      <c r="Y22" s="3236"/>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36"/>
      <c r="Q23" s="1808" t="str">
        <f t="shared" ref="Q23:Q37" si="8">B23</f>
        <v>区域土地利用方向</v>
      </c>
      <c r="R23" s="772" t="s">
        <v>17</v>
      </c>
      <c r="S23" s="773">
        <f>F23</f>
        <v>100</v>
      </c>
      <c r="T23" s="772" t="s">
        <v>17</v>
      </c>
      <c r="U23" s="773">
        <f>H23</f>
        <v>100</v>
      </c>
      <c r="V23" s="772" t="s">
        <v>17</v>
      </c>
      <c r="W23" s="773">
        <f>J23</f>
        <v>100</v>
      </c>
      <c r="X23" s="1811"/>
      <c r="Y23" s="3236"/>
      <c r="Z23" s="1812" t="str">
        <f>Q23</f>
        <v>区域土地利用方向</v>
      </c>
      <c r="AA23" s="1809">
        <f t="shared" si="3"/>
        <v>1</v>
      </c>
      <c r="AB23" s="1809">
        <f t="shared" si="4"/>
        <v>1</v>
      </c>
      <c r="AC23" s="1809">
        <f t="shared" si="5"/>
        <v>1</v>
      </c>
    </row>
    <row r="24" spans="1:29" ht="15">
      <c r="A24" s="403"/>
      <c r="B24" s="455"/>
      <c r="C24" s="615"/>
      <c r="D24" s="447"/>
      <c r="E24" s="2607"/>
      <c r="F24" s="447"/>
      <c r="G24" s="2606"/>
      <c r="H24" s="447"/>
      <c r="I24" s="2606"/>
      <c r="J24" s="447"/>
      <c r="K24" s="810"/>
      <c r="L24" s="1138"/>
      <c r="M24" s="1129"/>
      <c r="N24" s="1129"/>
      <c r="O24" s="1137"/>
      <c r="P24" s="3236"/>
      <c r="Q24" s="1808"/>
      <c r="R24" s="772"/>
      <c r="S24" s="773"/>
      <c r="T24" s="772"/>
      <c r="U24" s="773"/>
      <c r="V24" s="772"/>
      <c r="W24" s="773"/>
      <c r="X24" s="1811"/>
      <c r="Y24" s="3236"/>
      <c r="Z24" s="1812"/>
      <c r="AA24" s="1809"/>
      <c r="AB24" s="1809"/>
      <c r="AC24" s="1809"/>
    </row>
    <row r="25" spans="1:29" ht="57">
      <c r="A25" s="403"/>
      <c r="B25" s="1382" t="s">
        <v>2749</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36"/>
      <c r="Q25" s="1808" t="str">
        <f t="shared" si="8"/>
        <v>自然及人文环境状况</v>
      </c>
      <c r="R25" s="772" t="s">
        <v>17</v>
      </c>
      <c r="S25" s="773">
        <f>F25</f>
        <v>100</v>
      </c>
      <c r="T25" s="772" t="s">
        <v>17</v>
      </c>
      <c r="U25" s="773">
        <f>H25</f>
        <v>100</v>
      </c>
      <c r="V25" s="772" t="s">
        <v>17</v>
      </c>
      <c r="W25" s="773">
        <f>J25</f>
        <v>100</v>
      </c>
      <c r="X25" s="1811"/>
      <c r="Y25" s="3236"/>
      <c r="Z25" s="1812" t="str">
        <f>Q25</f>
        <v>自然及人文环境状况</v>
      </c>
      <c r="AA25" s="1809">
        <f t="shared" si="3"/>
        <v>1</v>
      </c>
      <c r="AB25" s="1809">
        <f t="shared" si="4"/>
        <v>1</v>
      </c>
      <c r="AC25" s="1809">
        <f t="shared" si="5"/>
        <v>1</v>
      </c>
    </row>
    <row r="26" spans="1:29" ht="15">
      <c r="A26" s="403"/>
      <c r="B26" s="455"/>
      <c r="C26" s="446"/>
      <c r="D26" s="447"/>
      <c r="E26" s="2613"/>
      <c r="F26" s="447"/>
      <c r="G26" s="2613"/>
      <c r="H26" s="447"/>
      <c r="I26" s="446"/>
      <c r="J26" s="447"/>
      <c r="K26" s="671"/>
      <c r="L26" s="1138"/>
      <c r="M26" s="1129"/>
      <c r="N26" s="1129"/>
      <c r="O26" s="1137"/>
      <c r="P26" s="3236"/>
      <c r="Q26" s="1808"/>
      <c r="R26" s="772"/>
      <c r="S26" s="773"/>
      <c r="T26" s="772"/>
      <c r="U26" s="773"/>
      <c r="V26" s="772"/>
      <c r="W26" s="773"/>
      <c r="X26" s="1811"/>
      <c r="Y26" s="3236"/>
      <c r="Z26" s="1812"/>
      <c r="AA26" s="1809">
        <v>1</v>
      </c>
      <c r="AB26" s="1809">
        <v>1</v>
      </c>
      <c r="AC26" s="1809">
        <v>1</v>
      </c>
    </row>
    <row r="27" spans="1:29" s="116" customFormat="1" ht="42.75">
      <c r="A27" s="648"/>
      <c r="B27" s="1382" t="s">
        <v>2654</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36"/>
      <c r="Q27" s="1793" t="str">
        <f t="shared" si="8"/>
        <v>公共配套设施</v>
      </c>
      <c r="R27" s="768" t="s">
        <v>17</v>
      </c>
      <c r="S27" s="769">
        <f>F27</f>
        <v>100</v>
      </c>
      <c r="T27" s="768" t="s">
        <v>17</v>
      </c>
      <c r="U27" s="769">
        <f>H27</f>
        <v>100</v>
      </c>
      <c r="V27" s="768" t="s">
        <v>17</v>
      </c>
      <c r="W27" s="769">
        <f>J27</f>
        <v>100</v>
      </c>
      <c r="X27" s="770"/>
      <c r="Y27" s="3236"/>
      <c r="Z27" s="54" t="str">
        <f>Q27</f>
        <v>公共配套设施</v>
      </c>
      <c r="AA27" s="1809">
        <f>D27/F27</f>
        <v>1</v>
      </c>
      <c r="AB27" s="1809">
        <f>D27/H27</f>
        <v>1</v>
      </c>
      <c r="AC27" s="1809">
        <f>D27/J27</f>
        <v>1</v>
      </c>
    </row>
    <row r="28" spans="1:29" s="116" customFormat="1" ht="15">
      <c r="A28" s="648"/>
      <c r="B28" s="455"/>
      <c r="C28" s="2702"/>
      <c r="D28" s="447"/>
      <c r="E28" s="2613"/>
      <c r="F28" s="447"/>
      <c r="G28" s="2613"/>
      <c r="H28" s="447"/>
      <c r="I28" s="446"/>
      <c r="J28" s="447"/>
      <c r="K28" s="671"/>
      <c r="L28" s="1130"/>
      <c r="M28" s="1131"/>
      <c r="N28" s="1131"/>
      <c r="O28" s="1132"/>
      <c r="P28" s="3236"/>
      <c r="Q28" s="1793"/>
      <c r="R28" s="768"/>
      <c r="S28" s="769"/>
      <c r="T28" s="768"/>
      <c r="U28" s="769"/>
      <c r="V28" s="768"/>
      <c r="W28" s="769"/>
      <c r="X28" s="770"/>
      <c r="Y28" s="3236"/>
      <c r="Z28" s="54"/>
      <c r="AA28" s="1809">
        <v>1</v>
      </c>
      <c r="AB28" s="1809">
        <v>1</v>
      </c>
      <c r="AC28" s="1809">
        <v>1</v>
      </c>
    </row>
    <row r="29" spans="1:29" s="116" customFormat="1" ht="28.5">
      <c r="A29" s="648"/>
      <c r="B29" s="1382" t="s">
        <v>2655</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36"/>
      <c r="Q29" s="1793" t="str">
        <f t="shared" ref="Q29" si="9">B29</f>
        <v>基础设施水平</v>
      </c>
      <c r="R29" s="768" t="s">
        <v>17</v>
      </c>
      <c r="S29" s="769">
        <f>F29</f>
        <v>100</v>
      </c>
      <c r="T29" s="768" t="s">
        <v>17</v>
      </c>
      <c r="U29" s="769">
        <f>H29</f>
        <v>100</v>
      </c>
      <c r="V29" s="768" t="s">
        <v>17</v>
      </c>
      <c r="W29" s="769">
        <f>J29</f>
        <v>100</v>
      </c>
      <c r="X29" s="770"/>
      <c r="Y29" s="3236"/>
      <c r="Z29" s="54" t="str">
        <f>Q29</f>
        <v>基础设施水平</v>
      </c>
      <c r="AA29" s="1809">
        <f>D29/F29</f>
        <v>1</v>
      </c>
      <c r="AB29" s="1809">
        <f>D29/H29</f>
        <v>1</v>
      </c>
      <c r="AC29" s="1809">
        <f>D29/J29</f>
        <v>1</v>
      </c>
    </row>
    <row r="30" spans="1:29" s="116" customFormat="1" ht="15">
      <c r="A30" s="648"/>
      <c r="B30" s="455"/>
      <c r="C30" s="2702"/>
      <c r="D30" s="447"/>
      <c r="E30" s="2703"/>
      <c r="F30" s="447"/>
      <c r="G30" s="2703"/>
      <c r="H30" s="447"/>
      <c r="I30" s="2703"/>
      <c r="J30" s="447"/>
      <c r="K30" s="671"/>
      <c r="L30" s="1130"/>
      <c r="M30" s="1131"/>
      <c r="N30" s="1131"/>
      <c r="O30" s="1132"/>
      <c r="P30" s="3236"/>
      <c r="Q30" s="1793"/>
      <c r="R30" s="768"/>
      <c r="S30" s="769"/>
      <c r="T30" s="768"/>
      <c r="U30" s="769"/>
      <c r="V30" s="768"/>
      <c r="W30" s="769"/>
      <c r="X30" s="770"/>
      <c r="Y30" s="3236"/>
      <c r="Z30" s="54"/>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36"/>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6"/>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36"/>
      <c r="Q32" s="1808" t="str">
        <f t="shared" si="8"/>
        <v>毗邻道路的类型与等级</v>
      </c>
      <c r="R32" s="772" t="s">
        <v>17</v>
      </c>
      <c r="S32" s="773">
        <f t="shared" si="10"/>
        <v>100</v>
      </c>
      <c r="T32" s="772" t="s">
        <v>17</v>
      </c>
      <c r="U32" s="773">
        <f t="shared" si="11"/>
        <v>100</v>
      </c>
      <c r="V32" s="772" t="s">
        <v>17</v>
      </c>
      <c r="W32" s="773">
        <f t="shared" si="12"/>
        <v>100</v>
      </c>
      <c r="X32" s="1811"/>
      <c r="Y32" s="3236"/>
      <c r="Z32" s="1812" t="str">
        <f t="shared" si="13"/>
        <v>毗邻道路的类型与等级</v>
      </c>
      <c r="AA32" s="1809">
        <f t="shared" si="3"/>
        <v>1</v>
      </c>
      <c r="AB32" s="1809">
        <f t="shared" si="4"/>
        <v>1</v>
      </c>
      <c r="AC32" s="1809">
        <f t="shared" si="5"/>
        <v>1</v>
      </c>
    </row>
    <row r="33" spans="1:29" ht="15">
      <c r="A33" s="427"/>
      <c r="B33" s="455"/>
      <c r="C33" s="446"/>
      <c r="D33" s="447"/>
      <c r="E33" s="2613"/>
      <c r="F33" s="447"/>
      <c r="G33" s="2613"/>
      <c r="H33" s="447"/>
      <c r="I33" s="446"/>
      <c r="J33" s="447"/>
      <c r="K33" s="612"/>
      <c r="L33" s="1138"/>
      <c r="M33" s="1129"/>
      <c r="N33" s="1129"/>
      <c r="O33" s="1137"/>
      <c r="P33" s="3236"/>
      <c r="Q33" s="1808"/>
      <c r="R33" s="772"/>
      <c r="S33" s="773"/>
      <c r="T33" s="772"/>
      <c r="U33" s="773"/>
      <c r="V33" s="772"/>
      <c r="W33" s="773"/>
      <c r="X33" s="1811"/>
      <c r="Y33" s="3236"/>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6"/>
      <c r="Q34" s="1808" t="str">
        <f t="shared" si="8"/>
        <v>土地级别</v>
      </c>
      <c r="R34" s="772" t="s">
        <v>17</v>
      </c>
      <c r="S34" s="773">
        <f t="shared" si="10"/>
        <v>100</v>
      </c>
      <c r="T34" s="772" t="s">
        <v>17</v>
      </c>
      <c r="U34" s="773">
        <f t="shared" si="11"/>
        <v>100</v>
      </c>
      <c r="V34" s="772" t="s">
        <v>17</v>
      </c>
      <c r="W34" s="773">
        <f t="shared" si="12"/>
        <v>100</v>
      </c>
      <c r="X34" s="1811"/>
      <c r="Y34" s="3236"/>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6"/>
      <c r="Q35" s="1808">
        <f t="shared" si="8"/>
        <v>111</v>
      </c>
      <c r="R35" s="772" t="s">
        <v>17</v>
      </c>
      <c r="S35" s="773">
        <f t="shared" si="10"/>
        <v>100</v>
      </c>
      <c r="T35" s="772" t="s">
        <v>17</v>
      </c>
      <c r="U35" s="773">
        <f t="shared" si="11"/>
        <v>100</v>
      </c>
      <c r="V35" s="772" t="s">
        <v>17</v>
      </c>
      <c r="W35" s="773">
        <f t="shared" si="12"/>
        <v>100</v>
      </c>
      <c r="X35" s="1811"/>
      <c r="Y35" s="3236"/>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3" t="s">
        <v>2565</v>
      </c>
      <c r="Q36" s="1808">
        <f t="shared" si="8"/>
        <v>111</v>
      </c>
      <c r="R36" s="772" t="s">
        <v>17</v>
      </c>
      <c r="S36" s="773">
        <f t="shared" si="10"/>
        <v>100</v>
      </c>
      <c r="T36" s="772" t="s">
        <v>17</v>
      </c>
      <c r="U36" s="773">
        <f t="shared" si="11"/>
        <v>100</v>
      </c>
      <c r="V36" s="772" t="s">
        <v>17</v>
      </c>
      <c r="W36" s="773">
        <f t="shared" si="12"/>
        <v>100</v>
      </c>
      <c r="X36" s="1811"/>
      <c r="Y36" s="3240"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0"/>
      <c r="Q37" s="1808">
        <f t="shared" si="8"/>
        <v>111</v>
      </c>
      <c r="R37" s="775" t="s">
        <v>17</v>
      </c>
      <c r="S37" s="776">
        <f t="shared" si="10"/>
        <v>100</v>
      </c>
      <c r="T37" s="775" t="s">
        <v>17</v>
      </c>
      <c r="U37" s="776">
        <f t="shared" si="11"/>
        <v>100</v>
      </c>
      <c r="V37" s="775" t="s">
        <v>17</v>
      </c>
      <c r="W37" s="776">
        <f t="shared" si="12"/>
        <v>100</v>
      </c>
      <c r="X37" s="777"/>
      <c r="Y37" s="3240"/>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40"/>
      <c r="Q38" s="1808" t="str">
        <f>B38</f>
        <v>宗地面积</v>
      </c>
      <c r="R38" s="772" t="s">
        <v>17</v>
      </c>
      <c r="S38" s="773" t="e">
        <f t="shared" si="10"/>
        <v>#N/A</v>
      </c>
      <c r="T38" s="772" t="s">
        <v>17</v>
      </c>
      <c r="U38" s="773" t="e">
        <f t="shared" si="11"/>
        <v>#N/A</v>
      </c>
      <c r="V38" s="772" t="s">
        <v>17</v>
      </c>
      <c r="W38" s="773" t="e">
        <f t="shared" si="12"/>
        <v>#N/A</v>
      </c>
      <c r="X38" s="1811"/>
      <c r="Y38" s="3240"/>
      <c r="Z38" s="1812" t="str">
        <f t="shared" si="13"/>
        <v>宗地面积</v>
      </c>
      <c r="AA38" s="1809" t="e">
        <f t="shared" si="3"/>
        <v>#N/A</v>
      </c>
      <c r="AB38" s="1809" t="e">
        <f t="shared" si="4"/>
        <v>#N/A</v>
      </c>
      <c r="AC38" s="1809" t="e">
        <f t="shared" si="5"/>
        <v>#N/A</v>
      </c>
    </row>
    <row r="39" spans="1:29" ht="15">
      <c r="A39" s="471"/>
      <c r="B39" s="421" t="s">
        <v>2752</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38"/>
      <c r="M39" s="1129"/>
      <c r="N39" s="1129"/>
      <c r="O39" s="1137"/>
      <c r="P39" s="3240"/>
      <c r="Q39" s="1808" t="str">
        <f t="shared" ref="Q39:Q45" si="14">B39</f>
        <v>宗地形状</v>
      </c>
      <c r="R39" s="772" t="s">
        <v>17</v>
      </c>
      <c r="S39" s="773">
        <f t="shared" si="10"/>
        <v>100</v>
      </c>
      <c r="T39" s="772" t="s">
        <v>17</v>
      </c>
      <c r="U39" s="773">
        <f t="shared" si="11"/>
        <v>100</v>
      </c>
      <c r="V39" s="772" t="s">
        <v>17</v>
      </c>
      <c r="W39" s="773">
        <f t="shared" si="12"/>
        <v>100</v>
      </c>
      <c r="X39" s="1811"/>
      <c r="Y39" s="3240"/>
      <c r="Z39" s="1812" t="str">
        <f t="shared" si="13"/>
        <v>宗地形状</v>
      </c>
      <c r="AA39" s="1809">
        <f t="shared" si="3"/>
        <v>1</v>
      </c>
      <c r="AB39" s="1809">
        <f t="shared" si="4"/>
        <v>1</v>
      </c>
      <c r="AC39" s="1809">
        <f t="shared" si="5"/>
        <v>1</v>
      </c>
    </row>
    <row r="40" spans="1:29" ht="15">
      <c r="A40" s="471"/>
      <c r="B40" s="421" t="s">
        <v>2753</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38"/>
      <c r="M40" s="1129"/>
      <c r="N40" s="1129"/>
      <c r="O40" s="1137"/>
      <c r="P40" s="3240"/>
      <c r="Q40" s="1808" t="str">
        <f t="shared" si="14"/>
        <v>临街宽度及深度</v>
      </c>
      <c r="R40" s="772" t="s">
        <v>17</v>
      </c>
      <c r="S40" s="773">
        <f t="shared" si="10"/>
        <v>100</v>
      </c>
      <c r="T40" s="772" t="s">
        <v>17</v>
      </c>
      <c r="U40" s="773">
        <f t="shared" si="11"/>
        <v>100</v>
      </c>
      <c r="V40" s="772" t="s">
        <v>17</v>
      </c>
      <c r="W40" s="773">
        <f t="shared" si="12"/>
        <v>100</v>
      </c>
      <c r="X40" s="1811"/>
      <c r="Y40" s="3240"/>
      <c r="Z40" s="1812" t="str">
        <f t="shared" si="13"/>
        <v>临街宽度及深度</v>
      </c>
      <c r="AA40" s="1809">
        <f t="shared" si="3"/>
        <v>1</v>
      </c>
      <c r="AB40" s="1809">
        <f t="shared" si="4"/>
        <v>1</v>
      </c>
      <c r="AC40" s="1809">
        <f t="shared" si="5"/>
        <v>1</v>
      </c>
    </row>
    <row r="41" spans="1:29" s="116" customFormat="1" ht="15">
      <c r="A41" s="472"/>
      <c r="B41" s="421" t="s">
        <v>2754</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0"/>
      <c r="M41" s="1131"/>
      <c r="N41" s="1131"/>
      <c r="O41" s="1132"/>
      <c r="P41" s="3240"/>
      <c r="Q41" s="1808" t="str">
        <f t="shared" si="14"/>
        <v>宗地开发程度</v>
      </c>
      <c r="R41" s="768" t="s">
        <v>17</v>
      </c>
      <c r="S41" s="769">
        <f t="shared" si="10"/>
        <v>100</v>
      </c>
      <c r="T41" s="768" t="s">
        <v>17</v>
      </c>
      <c r="U41" s="769">
        <f t="shared" si="11"/>
        <v>100</v>
      </c>
      <c r="V41" s="768" t="s">
        <v>17</v>
      </c>
      <c r="W41" s="769">
        <f t="shared" si="12"/>
        <v>100</v>
      </c>
      <c r="X41" s="770"/>
      <c r="Y41" s="3240"/>
      <c r="Z41" s="54" t="str">
        <f t="shared" si="13"/>
        <v>宗地开发程度</v>
      </c>
      <c r="AA41" s="771">
        <f t="shared" si="3"/>
        <v>1</v>
      </c>
      <c r="AB41" s="771">
        <f t="shared" si="4"/>
        <v>1</v>
      </c>
      <c r="AC41" s="771">
        <f t="shared" si="5"/>
        <v>1</v>
      </c>
    </row>
    <row r="42" spans="1:29" ht="15">
      <c r="A42" s="471"/>
      <c r="B42" s="421" t="s">
        <v>2755</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38"/>
      <c r="M42" s="1129"/>
      <c r="N42" s="1129"/>
      <c r="O42" s="1137"/>
      <c r="P42" s="3240" t="s">
        <v>2565</v>
      </c>
      <c r="Q42" s="1808" t="str">
        <f t="shared" si="14"/>
        <v>工程地质条件</v>
      </c>
      <c r="R42" s="772" t="s">
        <v>17</v>
      </c>
      <c r="S42" s="773">
        <f t="shared" si="10"/>
        <v>100</v>
      </c>
      <c r="T42" s="772" t="s">
        <v>17</v>
      </c>
      <c r="U42" s="773">
        <f t="shared" si="11"/>
        <v>100</v>
      </c>
      <c r="V42" s="772" t="s">
        <v>17</v>
      </c>
      <c r="W42" s="773">
        <f t="shared" si="12"/>
        <v>100</v>
      </c>
      <c r="X42" s="1811"/>
      <c r="Y42" s="3240"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0"/>
      <c r="Q43" s="1808">
        <f t="shared" si="14"/>
        <v>111</v>
      </c>
      <c r="R43" s="772" t="s">
        <v>17</v>
      </c>
      <c r="S43" s="773">
        <f t="shared" si="10"/>
        <v>100</v>
      </c>
      <c r="T43" s="772" t="s">
        <v>17</v>
      </c>
      <c r="U43" s="773">
        <f t="shared" si="11"/>
        <v>100</v>
      </c>
      <c r="V43" s="772" t="s">
        <v>17</v>
      </c>
      <c r="W43" s="773">
        <f t="shared" si="12"/>
        <v>100</v>
      </c>
      <c r="X43" s="1811"/>
      <c r="Y43" s="3240"/>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0"/>
      <c r="Q44" s="1808">
        <f t="shared" si="14"/>
        <v>111</v>
      </c>
      <c r="R44" s="772" t="s">
        <v>17</v>
      </c>
      <c r="S44" s="773">
        <f t="shared" si="10"/>
        <v>100</v>
      </c>
      <c r="T44" s="772" t="s">
        <v>17</v>
      </c>
      <c r="U44" s="773">
        <f t="shared" si="11"/>
        <v>100</v>
      </c>
      <c r="V44" s="772" t="s">
        <v>17</v>
      </c>
      <c r="W44" s="773">
        <f t="shared" si="12"/>
        <v>100</v>
      </c>
      <c r="X44" s="1811"/>
      <c r="Y44" s="3240"/>
      <c r="Z44" s="1812">
        <f t="shared" si="13"/>
        <v>111</v>
      </c>
      <c r="AA44" s="1809">
        <f t="shared" si="3"/>
        <v>1</v>
      </c>
      <c r="AB44" s="1809">
        <f t="shared" si="4"/>
        <v>1</v>
      </c>
      <c r="AC44" s="1809">
        <f t="shared" si="5"/>
        <v>1</v>
      </c>
    </row>
    <row r="45" spans="1:29" s="470" customFormat="1" ht="15.75" thickBot="1">
      <c r="A45" s="467"/>
      <c r="B45" s="1385">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0"/>
      <c r="Q45" s="1808">
        <f t="shared" si="14"/>
        <v>111</v>
      </c>
      <c r="R45" s="775" t="s">
        <v>17</v>
      </c>
      <c r="S45" s="776">
        <f t="shared" si="10"/>
        <v>100</v>
      </c>
      <c r="T45" s="775" t="s">
        <v>17</v>
      </c>
      <c r="U45" s="776">
        <f t="shared" si="11"/>
        <v>100</v>
      </c>
      <c r="V45" s="775" t="s">
        <v>17</v>
      </c>
      <c r="W45" s="776">
        <f t="shared" si="12"/>
        <v>100</v>
      </c>
      <c r="X45" s="777"/>
      <c r="Y45" s="3240"/>
      <c r="Z45" s="778">
        <f t="shared" si="13"/>
        <v>111</v>
      </c>
      <c r="AA45" s="1809">
        <f t="shared" si="3"/>
        <v>1</v>
      </c>
      <c r="AB45" s="1809">
        <f t="shared" si="4"/>
        <v>1</v>
      </c>
      <c r="AC45" s="1809">
        <f t="shared" si="5"/>
        <v>1</v>
      </c>
    </row>
    <row r="46" spans="1:29" ht="15">
      <c r="A46" s="478" t="s">
        <v>2720</v>
      </c>
      <c r="B46" s="2706" t="s">
        <v>2756</v>
      </c>
      <c r="C46" s="681" t="s">
        <v>1</v>
      </c>
      <c r="D46" s="480"/>
      <c r="E46" s="481"/>
      <c r="F46" s="482"/>
      <c r="G46" s="483"/>
      <c r="H46" s="484"/>
      <c r="I46" s="481"/>
      <c r="J46" s="484"/>
      <c r="K46" s="781"/>
      <c r="L46" s="1141"/>
      <c r="M46" s="1142"/>
      <c r="N46" s="1129"/>
      <c r="O46" s="1142"/>
      <c r="P46" s="3242" t="str">
        <f>A46</f>
        <v>成交单价</v>
      </c>
      <c r="Q46" s="3242"/>
      <c r="R46" s="3204">
        <f>E46</f>
        <v>0</v>
      </c>
      <c r="S46" s="3204"/>
      <c r="T46" s="3204">
        <f>G46</f>
        <v>0</v>
      </c>
      <c r="U46" s="3204"/>
      <c r="V46" s="3204">
        <f>I46</f>
        <v>0</v>
      </c>
      <c r="W46" s="3204"/>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242" t="str">
        <f>A47</f>
        <v>比较价值（元/平方米）</v>
      </c>
      <c r="Q47" s="3242"/>
      <c r="R47" s="3264" t="e">
        <f>ROUND(PRODUCT(R46,AA7:AA45),0)</f>
        <v>#DIV/0!</v>
      </c>
      <c r="S47" s="3264"/>
      <c r="T47" s="3264" t="e">
        <f>ROUND(PRODUCT(T46,AB7:AB45),0)</f>
        <v>#DIV/0!</v>
      </c>
      <c r="U47" s="3264"/>
      <c r="V47" s="3264" t="e">
        <f>ROUND(PRODUCT(V46,AC7:AC45),0)</f>
        <v>#DIV/0!</v>
      </c>
      <c r="W47" s="3264"/>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244" t="str">
        <f>A48</f>
        <v>估价对象XX用房的比较价值（楼面单价，元/平方米）</v>
      </c>
      <c r="Q48" s="3245"/>
      <c r="R48" s="3265" t="e">
        <f>ROUND(AVERAGE(R47:V47),0)</f>
        <v>#DIV/0!</v>
      </c>
      <c r="S48" s="3265"/>
      <c r="T48" s="3265"/>
      <c r="U48" s="3265"/>
      <c r="V48" s="3265"/>
      <c r="W48" s="326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7" t="s">
        <v>2760</v>
      </c>
      <c r="D55" s="2708" t="s">
        <v>2761</v>
      </c>
      <c r="E55" s="685" t="s">
        <v>2762</v>
      </c>
      <c r="F55" s="1105" t="s">
        <v>2763</v>
      </c>
      <c r="G55" s="3220" t="s">
        <v>2764</v>
      </c>
      <c r="H55" s="3266"/>
      <c r="I55" s="143" t="s">
        <v>2765</v>
      </c>
      <c r="J55" s="2709">
        <f>项目基本情况!F35</f>
        <v>0</v>
      </c>
      <c r="K55" s="2710" t="s">
        <v>2766</v>
      </c>
      <c r="L55" s="1104"/>
      <c r="M55" s="1142"/>
      <c r="N55" s="1142"/>
      <c r="O55" s="1142"/>
    </row>
    <row r="56" spans="1:15" s="691" customFormat="1">
      <c r="A56" s="687" t="s">
        <v>2767</v>
      </c>
      <c r="B56" s="688" t="e">
        <f>C48</f>
        <v>#DIV/0!</v>
      </c>
      <c r="C56" s="689">
        <v>1</v>
      </c>
      <c r="D56" s="1161">
        <v>1</v>
      </c>
      <c r="E56" s="689">
        <f>'数据-汇总表'!E8+'数据-汇总表'!E9</f>
        <v>2215.16</v>
      </c>
      <c r="F56" s="1101" t="e">
        <f t="shared" ref="F56:F65" si="15">ROUND(B56*E56/10000,0)</f>
        <v>#DIV/0!</v>
      </c>
      <c r="G56" s="3219"/>
      <c r="H56" s="3242"/>
      <c r="I56" s="1106">
        <v>1</v>
      </c>
      <c r="J56" s="1109">
        <v>1</v>
      </c>
      <c r="K56" s="1143"/>
      <c r="L56" s="939"/>
      <c r="M56" s="939"/>
      <c r="N56" s="939"/>
      <c r="O56" s="939"/>
    </row>
    <row r="57" spans="1:15" s="691" customFormat="1">
      <c r="A57" s="692" t="s">
        <v>2768</v>
      </c>
      <c r="B57" s="261" t="e">
        <f>ROUND($C$48*C57*D57,0)</f>
        <v>#DIV/0!</v>
      </c>
      <c r="C57" s="199">
        <f t="shared" ref="C57:C65" si="16">IF($C$55="北京市系数",I57,J57)</f>
        <v>0</v>
      </c>
      <c r="D57" s="1162">
        <v>0.25</v>
      </c>
      <c r="E57" s="693"/>
      <c r="F57" s="1101" t="e">
        <f t="shared" si="15"/>
        <v>#DIV/0!</v>
      </c>
      <c r="G57" s="3267" t="s">
        <v>2769</v>
      </c>
      <c r="H57" s="1102">
        <f>项目基本情况!B37</f>
        <v>0</v>
      </c>
      <c r="I57" s="1106">
        <f>SUMIF(修正!A45:A56,H57,修正!B45:B56)</f>
        <v>0</v>
      </c>
      <c r="J57" s="1110"/>
      <c r="K57" s="1142"/>
      <c r="L57" s="939"/>
      <c r="M57" s="939"/>
      <c r="N57" s="939"/>
      <c r="O57" s="939"/>
    </row>
    <row r="58" spans="1:15" s="691" customFormat="1">
      <c r="A58" s="692" t="s">
        <v>2770</v>
      </c>
      <c r="B58" s="261" t="e">
        <f t="shared" ref="B58:B65" si="17">ROUND($C$48*C58*D58,0)</f>
        <v>#DIV/0!</v>
      </c>
      <c r="C58" s="199">
        <f t="shared" si="16"/>
        <v>0</v>
      </c>
      <c r="D58" s="1162">
        <v>0.25</v>
      </c>
      <c r="E58" s="693"/>
      <c r="F58" s="1101" t="e">
        <f t="shared" si="15"/>
        <v>#DIV/0!</v>
      </c>
      <c r="G58" s="3267"/>
      <c r="H58" s="1102">
        <f>项目基本情况!B37</f>
        <v>0</v>
      </c>
      <c r="I58" s="1106">
        <f>SUMIF(修正!A45:A56,H58,修正!C45:C56)</f>
        <v>0</v>
      </c>
      <c r="J58" s="1110"/>
      <c r="K58" s="1143"/>
      <c r="L58" s="939"/>
      <c r="M58" s="939"/>
      <c r="N58" s="939"/>
      <c r="O58" s="939"/>
    </row>
    <row r="59" spans="1:15" s="691" customFormat="1">
      <c r="A59" s="692" t="s">
        <v>2771</v>
      </c>
      <c r="B59" s="261" t="e">
        <f t="shared" si="17"/>
        <v>#DIV/0!</v>
      </c>
      <c r="C59" s="199">
        <f t="shared" si="16"/>
        <v>0</v>
      </c>
      <c r="D59" s="1162">
        <v>0.25</v>
      </c>
      <c r="E59" s="693"/>
      <c r="F59" s="1101" t="e">
        <f t="shared" si="15"/>
        <v>#DIV/0!</v>
      </c>
      <c r="G59" s="3267"/>
      <c r="H59" s="1102">
        <f>项目基本情况!B37</f>
        <v>0</v>
      </c>
      <c r="I59" s="1106">
        <f>SUMIF(修正!A45:A56,H59,修正!D45:D56)</f>
        <v>0</v>
      </c>
      <c r="J59" s="1110"/>
      <c r="K59" s="1142"/>
      <c r="L59" s="939"/>
      <c r="M59" s="939"/>
      <c r="N59" s="939"/>
      <c r="O59" s="939"/>
    </row>
    <row r="60" spans="1:15" s="691" customFormat="1">
      <c r="A60" s="692" t="s">
        <v>2772</v>
      </c>
      <c r="B60" s="261" t="e">
        <f t="shared" si="17"/>
        <v>#DIV/0!</v>
      </c>
      <c r="C60" s="199">
        <f t="shared" si="16"/>
        <v>0</v>
      </c>
      <c r="D60" s="1162">
        <v>0.25</v>
      </c>
      <c r="E60" s="693"/>
      <c r="F60" s="1101" t="e">
        <f t="shared" si="15"/>
        <v>#DIV/0!</v>
      </c>
      <c r="G60" s="3267"/>
      <c r="H60" s="1102">
        <f>项目基本情况!B37</f>
        <v>0</v>
      </c>
      <c r="I60" s="1106">
        <f>SUMIF(修正!A45:A56,H60,修正!E45:E56)</f>
        <v>0</v>
      </c>
      <c r="J60" s="1110"/>
      <c r="K60" s="1143"/>
      <c r="L60" s="939"/>
      <c r="M60" s="939"/>
      <c r="N60" s="939"/>
      <c r="O60" s="939"/>
    </row>
    <row r="61" spans="1:15" s="691" customFormat="1">
      <c r="A61" s="692" t="s">
        <v>2773</v>
      </c>
      <c r="B61" s="261" t="e">
        <f t="shared" si="17"/>
        <v>#DIV/0!</v>
      </c>
      <c r="C61" s="199">
        <f t="shared" si="16"/>
        <v>0.3</v>
      </c>
      <c r="D61" s="1162">
        <v>0.25</v>
      </c>
      <c r="E61" s="260">
        <f>'数据-汇总表'!E11</f>
        <v>0</v>
      </c>
      <c r="F61" s="1101" t="e">
        <f t="shared" si="15"/>
        <v>#DIV/0!</v>
      </c>
      <c r="G61" s="2711" t="s">
        <v>2774</v>
      </c>
      <c r="H61" s="1102" t="str">
        <f>项目基本情况!C37</f>
        <v>二级</v>
      </c>
      <c r="I61" s="1106">
        <f>SUMIF(修正!A45:A56,H61,修正!F45:F56)</f>
        <v>0.3</v>
      </c>
      <c r="J61" s="1110"/>
      <c r="K61" s="1142"/>
      <c r="L61" s="939"/>
      <c r="M61" s="939"/>
      <c r="N61" s="939"/>
      <c r="O61" s="939"/>
    </row>
    <row r="62" spans="1:15" s="691" customFormat="1">
      <c r="A62" s="692" t="s">
        <v>2775</v>
      </c>
      <c r="B62" s="261" t="e">
        <f t="shared" si="17"/>
        <v>#DIV/0!</v>
      </c>
      <c r="C62" s="199">
        <f t="shared" si="16"/>
        <v>0.3</v>
      </c>
      <c r="D62" s="1162">
        <v>0.25</v>
      </c>
      <c r="E62" s="260">
        <f>'数据-汇总表'!E12</f>
        <v>0</v>
      </c>
      <c r="F62" s="1101" t="e">
        <f t="shared" si="15"/>
        <v>#DIV/0!</v>
      </c>
      <c r="G62" s="1107" t="s">
        <v>2776</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1" customFormat="1">
      <c r="A63" s="692" t="s">
        <v>2777</v>
      </c>
      <c r="B63" s="261" t="e">
        <f t="shared" si="17"/>
        <v>#DIV/0!</v>
      </c>
      <c r="C63" s="199">
        <f t="shared" si="16"/>
        <v>0.25</v>
      </c>
      <c r="D63" s="1162">
        <v>0.25</v>
      </c>
      <c r="E63" s="260">
        <f>'数据-汇总表'!E13</f>
        <v>0</v>
      </c>
      <c r="F63" s="1101" t="e">
        <f t="shared" si="15"/>
        <v>#DIV/0!</v>
      </c>
      <c r="G63" s="1107" t="s">
        <v>2778</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1" customFormat="1">
      <c r="A64" s="692" t="s">
        <v>2779</v>
      </c>
      <c r="B64" s="261" t="e">
        <f t="shared" si="17"/>
        <v>#DIV/0!</v>
      </c>
      <c r="C64" s="199">
        <f t="shared" si="16"/>
        <v>0</v>
      </c>
      <c r="D64" s="1162">
        <v>0.25</v>
      </c>
      <c r="E64" s="260">
        <f>'数据-汇总表'!E14</f>
        <v>0</v>
      </c>
      <c r="F64" s="1101" t="e">
        <f t="shared" si="15"/>
        <v>#DIV/0!</v>
      </c>
      <c r="G64" s="2711" t="s">
        <v>2769</v>
      </c>
      <c r="H64" s="1102">
        <f>项目基本情况!B37</f>
        <v>0</v>
      </c>
      <c r="I64" s="1106">
        <f>SUMIF(修正!A45:A56,H64,修正!H45:H56)</f>
        <v>0</v>
      </c>
      <c r="J64" s="1110"/>
      <c r="K64" s="1143"/>
      <c r="L64" s="939"/>
      <c r="M64" s="939"/>
      <c r="N64" s="939"/>
      <c r="O64" s="939"/>
    </row>
    <row r="65" spans="1:17" s="691" customFormat="1" ht="15" thickBot="1">
      <c r="A65" s="692" t="s">
        <v>2780</v>
      </c>
      <c r="B65" s="261" t="e">
        <f t="shared" si="17"/>
        <v>#DIV/0!</v>
      </c>
      <c r="C65" s="199">
        <f t="shared" si="16"/>
        <v>0.25</v>
      </c>
      <c r="D65" s="1162">
        <v>0.25</v>
      </c>
      <c r="E65" s="260">
        <f>'数据-汇总表'!E15</f>
        <v>0</v>
      </c>
      <c r="F65" s="1101" t="e">
        <f t="shared" si="15"/>
        <v>#DIV/0!</v>
      </c>
      <c r="G65" s="2712" t="s">
        <v>2774</v>
      </c>
      <c r="H65" s="1112" t="str">
        <f>项目基本情况!C37</f>
        <v>二级</v>
      </c>
      <c r="I65" s="1108">
        <f>SUMIF(修正!A45:A56,H65,修正!H45:H56)</f>
        <v>0.25</v>
      </c>
      <c r="J65" s="1111"/>
      <c r="K65" s="1142"/>
      <c r="L65" s="939"/>
      <c r="M65" s="939"/>
      <c r="N65" s="939"/>
      <c r="O65" s="939"/>
    </row>
    <row r="66" spans="1:17" s="691" customFormat="1" ht="13.5" thickBot="1">
      <c r="A66" s="694" t="s">
        <v>2781</v>
      </c>
      <c r="B66" s="695" t="s">
        <v>28</v>
      </c>
      <c r="C66" s="695" t="s">
        <v>29</v>
      </c>
      <c r="D66" s="695" t="s">
        <v>1026</v>
      </c>
      <c r="E66" s="695">
        <f>IF(B46="楼面地价",SUM(E56:E65),'数据-汇总表'!D3)</f>
        <v>2215.16</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13" t="s">
        <v>2782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14" t="s">
        <v>2783</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2557</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2691</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2750</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2792</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2793</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4" stopIfTrue="1" operator="containsText" text="超过">
      <formula>NOT(ISERROR(SEARCH("超过",F51)))</formula>
    </cfRule>
  </conditionalFormatting>
  <conditionalFormatting sqref="J53">
    <cfRule type="containsText" dxfId="65" priority="13" stopIfTrue="1" operator="containsText" text="超过">
      <formula>NOT(ISERROR(SEARCH("超过",J53)))</formula>
    </cfRule>
  </conditionalFormatting>
  <conditionalFormatting sqref="H53">
    <cfRule type="containsText" dxfId="64" priority="12" stopIfTrue="1" operator="containsText" text="超过">
      <formula>NOT(ISERROR(SEARCH("超过",H53)))</formula>
    </cfRule>
  </conditionalFormatting>
  <conditionalFormatting sqref="F53">
    <cfRule type="containsText" dxfId="63" priority="11" stopIfTrue="1" operator="containsText" text="超过">
      <formula>NOT(ISERROR(SEARCH("超过",F53)))</formula>
    </cfRule>
  </conditionalFormatting>
  <conditionalFormatting sqref="F52 H52 J52">
    <cfRule type="containsText" dxfId="62" priority="10" stopIfTrue="1" operator="containsText" text="超过">
      <formula>NOT(ISERROR(SEARCH("超过",F52)))</formula>
    </cfRule>
  </conditionalFormatting>
  <conditionalFormatting sqref="E51">
    <cfRule type="expression" dxfId="61" priority="9" stopIfTrue="1">
      <formula>$F$51="超过30%"</formula>
    </cfRule>
  </conditionalFormatting>
  <conditionalFormatting sqref="G53">
    <cfRule type="expression" dxfId="60" priority="8" stopIfTrue="1">
      <formula>$H$53="超过30%"</formula>
    </cfRule>
  </conditionalFormatting>
  <conditionalFormatting sqref="E52">
    <cfRule type="expression" dxfId="59" priority="7" stopIfTrue="1">
      <formula>$F$52="超过20%"</formula>
    </cfRule>
  </conditionalFormatting>
  <conditionalFormatting sqref="E53">
    <cfRule type="expression" dxfId="58" priority="6" stopIfTrue="1">
      <formula>$F$53="超过30%"</formula>
    </cfRule>
  </conditionalFormatting>
  <conditionalFormatting sqref="G51">
    <cfRule type="expression" dxfId="57" priority="5" stopIfTrue="1">
      <formula>$H$53+$H$51="超过30%"</formula>
    </cfRule>
  </conditionalFormatting>
  <conditionalFormatting sqref="G52">
    <cfRule type="expression" dxfId="56" priority="4" stopIfTrue="1">
      <formula>$H$52="超过20%"</formula>
    </cfRule>
  </conditionalFormatting>
  <conditionalFormatting sqref="I51">
    <cfRule type="expression" dxfId="55" priority="3" stopIfTrue="1">
      <formula>$J$51="超过30%"</formula>
    </cfRule>
  </conditionalFormatting>
  <conditionalFormatting sqref="I52">
    <cfRule type="expression" dxfId="54" priority="2" stopIfTrue="1">
      <formula>$J$52="超过20%"</formula>
    </cfRule>
  </conditionalFormatting>
  <conditionalFormatting sqref="I53">
    <cfRule type="expression" dxfId="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0" t="s">
        <v>2646</v>
      </c>
      <c r="D4" s="3221"/>
      <c r="E4" s="3222" t="s">
        <v>2647</v>
      </c>
      <c r="F4" s="3223"/>
      <c r="G4" s="3220" t="s">
        <v>2648</v>
      </c>
      <c r="H4" s="3221"/>
      <c r="I4" s="3220" t="s">
        <v>2649</v>
      </c>
      <c r="J4" s="3221"/>
      <c r="K4" s="609" t="s">
        <v>2650</v>
      </c>
      <c r="L4" s="1128"/>
      <c r="M4" s="1129"/>
      <c r="N4" s="1129"/>
      <c r="O4" s="1129"/>
      <c r="P4" s="3224" t="s">
        <v>2651</v>
      </c>
      <c r="Q4" s="3225"/>
      <c r="R4" s="3207" t="s">
        <v>2647</v>
      </c>
      <c r="S4" s="3208"/>
      <c r="T4" s="3207" t="s">
        <v>2648</v>
      </c>
      <c r="U4" s="3208"/>
      <c r="V4" s="3204" t="s">
        <v>2649</v>
      </c>
      <c r="W4" s="3204"/>
      <c r="X4" s="1811"/>
      <c r="Y4" s="3207" t="s">
        <v>2651</v>
      </c>
      <c r="Z4" s="3208"/>
      <c r="AA4" s="3201" t="s">
        <v>2647</v>
      </c>
      <c r="AB4" s="3202" t="s">
        <v>2648</v>
      </c>
      <c r="AC4" s="3201" t="s">
        <v>2649</v>
      </c>
    </row>
    <row r="5" spans="1:29" ht="15">
      <c r="A5" s="403"/>
      <c r="B5" s="404"/>
      <c r="C5" s="3213" t="s">
        <v>2542</v>
      </c>
      <c r="D5" s="3214"/>
      <c r="E5" s="3211" t="s">
        <v>2543</v>
      </c>
      <c r="F5" s="3212"/>
      <c r="G5" s="3213" t="s">
        <v>2544</v>
      </c>
      <c r="H5" s="3214"/>
      <c r="I5" s="3213" t="s">
        <v>2545</v>
      </c>
      <c r="J5" s="3214"/>
      <c r="K5" s="609"/>
      <c r="L5" s="1128"/>
      <c r="M5" s="1129"/>
      <c r="N5" s="1129"/>
      <c r="O5" s="1129"/>
      <c r="P5" s="3226"/>
      <c r="Q5" s="3227"/>
      <c r="R5" s="3209"/>
      <c r="S5" s="3210"/>
      <c r="T5" s="3209"/>
      <c r="U5" s="3210"/>
      <c r="V5" s="3204"/>
      <c r="W5" s="3204"/>
      <c r="X5" s="1811"/>
      <c r="Y5" s="3209"/>
      <c r="Z5" s="3210"/>
      <c r="AA5" s="3202"/>
      <c r="AB5" s="3202"/>
      <c r="AC5" s="3202"/>
    </row>
    <row r="6" spans="1:29" ht="15.75" thickBot="1">
      <c r="A6" s="405"/>
      <c r="B6" s="406"/>
      <c r="C6" s="3268" t="s">
        <v>2797</v>
      </c>
      <c r="D6" s="3269"/>
      <c r="E6" s="3270" t="s">
        <v>2797</v>
      </c>
      <c r="F6" s="3271"/>
      <c r="G6" s="3268" t="s">
        <v>2797</v>
      </c>
      <c r="H6" s="3269"/>
      <c r="I6" s="3268" t="s">
        <v>2797</v>
      </c>
      <c r="J6" s="3269"/>
      <c r="K6" s="609" t="s">
        <v>2547</v>
      </c>
      <c r="L6" s="1128"/>
      <c r="M6" s="1129"/>
      <c r="N6" s="1129"/>
      <c r="O6" s="1129"/>
      <c r="P6" s="3228"/>
      <c r="Q6" s="3229"/>
      <c r="R6" s="3209"/>
      <c r="S6" s="3210"/>
      <c r="T6" s="3230"/>
      <c r="U6" s="3231"/>
      <c r="V6" s="3204"/>
      <c r="W6" s="3204"/>
      <c r="X6" s="1811"/>
      <c r="Y6" s="3230"/>
      <c r="Z6" s="3231"/>
      <c r="AA6" s="3203"/>
      <c r="AB6" s="3203"/>
      <c r="AC6" s="3203"/>
    </row>
    <row r="7" spans="1:29" s="116" customFormat="1" ht="15.75" thickBot="1">
      <c r="A7" s="407" t="s">
        <v>2548</v>
      </c>
      <c r="B7" s="408"/>
      <c r="C7" s="409">
        <f>'数据-取费表'!B2</f>
        <v>43656</v>
      </c>
      <c r="D7" s="410">
        <v>100</v>
      </c>
      <c r="E7" s="411"/>
      <c r="F7" s="412">
        <f>SUMIF(65:65,YEAR(E7)&amp;"-"&amp;INT((MONTH(E7)+2)/3),66:66)</f>
        <v>0</v>
      </c>
      <c r="G7" s="2698"/>
      <c r="H7" s="410">
        <f>SUMIF(65:65,YEAR(G7)&amp;"-"&amp;INT((MONTH(G7)+2)/3),66:66)</f>
        <v>0</v>
      </c>
      <c r="I7" s="2698"/>
      <c r="J7" s="410">
        <f>SUMIF(65:65,YEAR(I7)&amp;"-"&amp;INT((MONTH(I7)+2)/3),66:66)</f>
        <v>0</v>
      </c>
      <c r="K7" s="610"/>
      <c r="L7" s="1130"/>
      <c r="M7" s="1131"/>
      <c r="N7" s="1131"/>
      <c r="O7" s="1131"/>
      <c r="P7" s="3205" t="s">
        <v>2549</v>
      </c>
      <c r="Q7" s="3232"/>
      <c r="R7" s="768" t="s">
        <v>17</v>
      </c>
      <c r="S7" s="769">
        <f t="shared" ref="S7:S15" si="0">F7</f>
        <v>0</v>
      </c>
      <c r="T7" s="768" t="s">
        <v>17</v>
      </c>
      <c r="U7" s="769">
        <f t="shared" ref="U7:U15" si="1">H7</f>
        <v>0</v>
      </c>
      <c r="V7" s="768" t="s">
        <v>17</v>
      </c>
      <c r="W7" s="769">
        <f t="shared" ref="W7:W15" si="2">J7</f>
        <v>0</v>
      </c>
      <c r="X7" s="770"/>
      <c r="Y7" s="3205" t="s">
        <v>2549</v>
      </c>
      <c r="Z7" s="3206"/>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05" t="s">
        <v>2552</v>
      </c>
      <c r="Q8" s="3206"/>
      <c r="R8" s="768" t="s">
        <v>17</v>
      </c>
      <c r="S8" s="769">
        <f t="shared" si="0"/>
        <v>0</v>
      </c>
      <c r="T8" s="768" t="s">
        <v>17</v>
      </c>
      <c r="U8" s="769">
        <f t="shared" si="1"/>
        <v>0</v>
      </c>
      <c r="V8" s="768" t="s">
        <v>17</v>
      </c>
      <c r="W8" s="769">
        <f t="shared" si="2"/>
        <v>0</v>
      </c>
      <c r="X8" s="770"/>
      <c r="Y8" s="3205" t="s">
        <v>2552</v>
      </c>
      <c r="Z8" s="3206"/>
      <c r="AA8" s="771" t="e">
        <f t="shared" ref="AA8:AA40" si="3">D8/F8</f>
        <v>#DIV/0!</v>
      </c>
      <c r="AB8" s="771" t="e">
        <f t="shared" ref="AB8:AB40" si="4">D8/H8</f>
        <v>#DIV/0!</v>
      </c>
      <c r="AC8" s="771" t="e">
        <f t="shared" ref="AC8:AC40" si="5">D8/J8</f>
        <v>#DIV/0!</v>
      </c>
    </row>
    <row r="9" spans="1:29" s="116" customFormat="1">
      <c r="A9" s="414" t="s">
        <v>2553</v>
      </c>
      <c r="B9" s="70" t="s">
        <v>2554</v>
      </c>
      <c r="C9" s="2701"/>
      <c r="D9" s="134">
        <v>100</v>
      </c>
      <c r="E9" s="2701"/>
      <c r="F9" s="134">
        <f>SUMIF(70:70,E9,71:71)-SUMIF(70:70,C9,71:71)+100</f>
        <v>100</v>
      </c>
      <c r="G9" s="2701"/>
      <c r="H9" s="134">
        <f>SUMIF(70:70,G9,71:71)-SUMIF(70:70,C9,71:71)+100</f>
        <v>100</v>
      </c>
      <c r="I9" s="2701"/>
      <c r="J9" s="134">
        <f>SUMIF(70:70,I9,71:71)-SUMIF(70:70,C9,71:71)+100</f>
        <v>100</v>
      </c>
      <c r="K9" s="610"/>
      <c r="L9" s="1130"/>
      <c r="M9" s="1131"/>
      <c r="N9" s="1131"/>
      <c r="O9" s="1132"/>
      <c r="P9" s="3242"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117</v>
      </c>
      <c r="G10" s="431"/>
      <c r="H10" s="135">
        <f>ROUND(100/'数据-取费表'!G16,0)</f>
        <v>117</v>
      </c>
      <c r="I10" s="431"/>
      <c r="J10" s="135">
        <f>ROUND(100/'数据-取费表'!G16,0)</f>
        <v>117</v>
      </c>
      <c r="K10" s="671"/>
      <c r="L10" s="1133"/>
      <c r="M10" s="1134"/>
      <c r="N10" s="1134"/>
      <c r="O10" s="1135"/>
      <c r="P10" s="3242"/>
      <c r="Q10" s="1793" t="str">
        <f t="shared" si="6"/>
        <v>土地使用年限（年）</v>
      </c>
      <c r="R10" s="768" t="s">
        <v>17</v>
      </c>
      <c r="S10" s="769">
        <f t="shared" si="0"/>
        <v>117</v>
      </c>
      <c r="T10" s="768" t="s">
        <v>17</v>
      </c>
      <c r="U10" s="769">
        <f t="shared" si="1"/>
        <v>117</v>
      </c>
      <c r="V10" s="768" t="s">
        <v>17</v>
      </c>
      <c r="W10" s="769">
        <f t="shared" si="2"/>
        <v>117</v>
      </c>
      <c r="X10" s="770"/>
      <c r="Y10" s="3051"/>
      <c r="Z10" s="54" t="str">
        <f t="shared" si="7"/>
        <v>土地使用年限（年）</v>
      </c>
      <c r="AA10" s="771">
        <f t="shared" si="3"/>
        <v>0.85470085470085466</v>
      </c>
      <c r="AB10" s="771">
        <f t="shared" si="4"/>
        <v>0.85470085470085466</v>
      </c>
      <c r="AC10" s="771">
        <f t="shared" si="5"/>
        <v>0.85470085470085466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42"/>
      <c r="Q11" s="1793" t="str">
        <f t="shared" si="6"/>
        <v>容积率</v>
      </c>
      <c r="R11" s="768" t="s">
        <v>17</v>
      </c>
      <c r="S11" s="769" t="e">
        <f t="shared" si="0"/>
        <v>#N/A</v>
      </c>
      <c r="T11" s="768" t="s">
        <v>17</v>
      </c>
      <c r="U11" s="769" t="e">
        <f t="shared" si="1"/>
        <v>#N/A</v>
      </c>
      <c r="V11" s="768" t="s">
        <v>17</v>
      </c>
      <c r="W11" s="769" t="e">
        <f t="shared" si="2"/>
        <v>#N/A</v>
      </c>
      <c r="X11" s="770"/>
      <c r="Y11" s="3051"/>
      <c r="Z11" s="54" t="str">
        <f t="shared" si="7"/>
        <v>容积率</v>
      </c>
      <c r="AA11" s="771" t="e">
        <f t="shared" si="3"/>
        <v>#N/A</v>
      </c>
      <c r="AB11" s="771" t="e">
        <f t="shared" si="4"/>
        <v>#N/A</v>
      </c>
      <c r="AC11" s="771"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42"/>
      <c r="Q12" s="1793">
        <f t="shared" si="6"/>
        <v>111</v>
      </c>
      <c r="R12" s="768" t="s">
        <v>17</v>
      </c>
      <c r="S12" s="769">
        <f t="shared" si="0"/>
        <v>100</v>
      </c>
      <c r="T12" s="768" t="s">
        <v>17</v>
      </c>
      <c r="U12" s="769">
        <f t="shared" si="1"/>
        <v>100</v>
      </c>
      <c r="V12" s="768" t="s">
        <v>17</v>
      </c>
      <c r="W12" s="769">
        <f t="shared" si="2"/>
        <v>100</v>
      </c>
      <c r="X12" s="770"/>
      <c r="Y12" s="3051"/>
      <c r="Z12" s="54">
        <f t="shared" si="7"/>
        <v>111</v>
      </c>
      <c r="AA12" s="771">
        <f>D12/F12</f>
        <v>1</v>
      </c>
      <c r="AB12" s="771">
        <f>D12/H12</f>
        <v>1</v>
      </c>
      <c r="AC12" s="771">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42"/>
      <c r="Q13" s="1793">
        <f t="shared" si="6"/>
        <v>111</v>
      </c>
      <c r="R13" s="768" t="s">
        <v>17</v>
      </c>
      <c r="S13" s="769">
        <f t="shared" si="0"/>
        <v>100</v>
      </c>
      <c r="T13" s="768" t="s">
        <v>17</v>
      </c>
      <c r="U13" s="769">
        <f t="shared" si="1"/>
        <v>100</v>
      </c>
      <c r="V13" s="768" t="s">
        <v>17</v>
      </c>
      <c r="W13" s="769">
        <f t="shared" si="2"/>
        <v>100</v>
      </c>
      <c r="X13" s="770"/>
      <c r="Y13" s="3051"/>
      <c r="Z13" s="54">
        <f t="shared" si="7"/>
        <v>111</v>
      </c>
      <c r="AA13" s="771">
        <f t="shared" si="3"/>
        <v>1</v>
      </c>
      <c r="AB13" s="771">
        <f t="shared" si="4"/>
        <v>1</v>
      </c>
      <c r="AC13" s="771">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42"/>
      <c r="Q14" s="1793">
        <f t="shared" si="6"/>
        <v>111</v>
      </c>
      <c r="R14" s="768" t="s">
        <v>17</v>
      </c>
      <c r="S14" s="769">
        <f t="shared" si="0"/>
        <v>100</v>
      </c>
      <c r="T14" s="768" t="s">
        <v>17</v>
      </c>
      <c r="U14" s="769">
        <f t="shared" si="1"/>
        <v>100</v>
      </c>
      <c r="V14" s="768" t="s">
        <v>17</v>
      </c>
      <c r="W14" s="769">
        <f t="shared" si="2"/>
        <v>100</v>
      </c>
      <c r="X14" s="770"/>
      <c r="Y14" s="3051"/>
      <c r="Z14" s="54">
        <f t="shared" si="7"/>
        <v>111</v>
      </c>
      <c r="AA14" s="771">
        <f t="shared" si="3"/>
        <v>1</v>
      </c>
      <c r="AB14" s="771">
        <f t="shared" si="4"/>
        <v>1</v>
      </c>
      <c r="AC14" s="771">
        <f t="shared" si="5"/>
        <v>1</v>
      </c>
    </row>
    <row r="15" spans="1:29" ht="57">
      <c r="A15" s="439" t="s">
        <v>2559</v>
      </c>
      <c r="B15" s="628" t="s">
        <v>2798</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5" t="s">
        <v>2560</v>
      </c>
      <c r="Q15" s="1808" t="str">
        <f t="shared" si="6"/>
        <v>产业集聚程度</v>
      </c>
      <c r="R15" s="772" t="s">
        <v>17</v>
      </c>
      <c r="S15" s="773">
        <f t="shared" si="0"/>
        <v>100</v>
      </c>
      <c r="T15" s="772" t="s">
        <v>17</v>
      </c>
      <c r="U15" s="773">
        <f t="shared" si="1"/>
        <v>100</v>
      </c>
      <c r="V15" s="772" t="s">
        <v>17</v>
      </c>
      <c r="W15" s="773">
        <f t="shared" si="2"/>
        <v>100</v>
      </c>
      <c r="X15" s="1811"/>
      <c r="Y15" s="3235" t="s">
        <v>2560</v>
      </c>
      <c r="Z15" s="1812" t="str">
        <f t="shared" si="7"/>
        <v>产业集聚程度</v>
      </c>
      <c r="AA15" s="1809">
        <f t="shared" si="3"/>
        <v>1</v>
      </c>
      <c r="AB15" s="1809">
        <f t="shared" si="4"/>
        <v>1</v>
      </c>
      <c r="AC15" s="1809">
        <f t="shared" si="5"/>
        <v>1</v>
      </c>
    </row>
    <row r="16" spans="1:29" ht="15">
      <c r="A16" s="427"/>
      <c r="B16" s="629"/>
      <c r="C16" s="446"/>
      <c r="D16" s="447"/>
      <c r="E16" s="2613"/>
      <c r="F16" s="447"/>
      <c r="G16" s="2613"/>
      <c r="H16" s="449"/>
      <c r="I16" s="2613"/>
      <c r="J16" s="447"/>
      <c r="K16" s="671"/>
      <c r="L16" s="1138"/>
      <c r="M16" s="1129"/>
      <c r="N16" s="1129"/>
      <c r="O16" s="1137"/>
      <c r="P16" s="3236"/>
      <c r="Q16" s="1808"/>
      <c r="R16" s="772"/>
      <c r="S16" s="773"/>
      <c r="T16" s="772"/>
      <c r="U16" s="773"/>
      <c r="V16" s="772"/>
      <c r="W16" s="773"/>
      <c r="X16" s="1811"/>
      <c r="Y16" s="3236"/>
      <c r="Z16" s="1812"/>
      <c r="AA16" s="1809">
        <v>1</v>
      </c>
      <c r="AB16" s="1809">
        <v>1</v>
      </c>
      <c r="AC16" s="1809">
        <v>1</v>
      </c>
    </row>
    <row r="17" spans="1:29" ht="85.5">
      <c r="A17" s="427"/>
      <c r="B17" s="630" t="s">
        <v>2709</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6"/>
      <c r="Q17" s="1808" t="str">
        <f>B17</f>
        <v>交通便捷度</v>
      </c>
      <c r="R17" s="772" t="s">
        <v>17</v>
      </c>
      <c r="S17" s="773">
        <f>F17</f>
        <v>100</v>
      </c>
      <c r="T17" s="772" t="s">
        <v>17</v>
      </c>
      <c r="U17" s="773">
        <f>H17</f>
        <v>100</v>
      </c>
      <c r="V17" s="772" t="s">
        <v>17</v>
      </c>
      <c r="W17" s="773">
        <f>J17</f>
        <v>100</v>
      </c>
      <c r="X17" s="1811"/>
      <c r="Y17" s="3236"/>
      <c r="Z17" s="1812" t="str">
        <f>Q17</f>
        <v>交通便捷度</v>
      </c>
      <c r="AA17" s="1809">
        <f t="shared" si="3"/>
        <v>1</v>
      </c>
      <c r="AB17" s="1809">
        <f t="shared" si="4"/>
        <v>1</v>
      </c>
      <c r="AC17" s="1809">
        <f t="shared" si="5"/>
        <v>1</v>
      </c>
    </row>
    <row r="18" spans="1:29" ht="15">
      <c r="A18" s="427"/>
      <c r="B18" s="631"/>
      <c r="C18" s="446"/>
      <c r="D18" s="447"/>
      <c r="E18" s="2607"/>
      <c r="F18" s="447"/>
      <c r="G18" s="2607"/>
      <c r="H18" s="447"/>
      <c r="I18" s="2606"/>
      <c r="J18" s="447"/>
      <c r="K18" s="671"/>
      <c r="L18" s="1138"/>
      <c r="M18" s="1129"/>
      <c r="N18" s="1129"/>
      <c r="O18" s="1137"/>
      <c r="P18" s="3236"/>
      <c r="Q18" s="1808"/>
      <c r="R18" s="772"/>
      <c r="S18" s="773"/>
      <c r="T18" s="772"/>
      <c r="U18" s="773"/>
      <c r="V18" s="772"/>
      <c r="W18" s="773"/>
      <c r="X18" s="1811"/>
      <c r="Y18" s="3236"/>
      <c r="Z18" s="1812"/>
      <c r="AA18" s="1809">
        <v>1</v>
      </c>
      <c r="AB18" s="1809">
        <v>1</v>
      </c>
      <c r="AC18" s="1809">
        <v>1</v>
      </c>
    </row>
    <row r="19" spans="1:29" ht="15">
      <c r="A19" s="427"/>
      <c r="B19" s="630" t="s">
        <v>2748</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6"/>
      <c r="Q19" s="1808" t="str">
        <f t="shared" ref="Q19:Q33" si="8">B19</f>
        <v>区域土地利用方向</v>
      </c>
      <c r="R19" s="772" t="s">
        <v>17</v>
      </c>
      <c r="S19" s="773">
        <f>F19</f>
        <v>100</v>
      </c>
      <c r="T19" s="772" t="s">
        <v>17</v>
      </c>
      <c r="U19" s="773">
        <f>H19</f>
        <v>100</v>
      </c>
      <c r="V19" s="772" t="s">
        <v>17</v>
      </c>
      <c r="W19" s="773">
        <f>J19</f>
        <v>100</v>
      </c>
      <c r="X19" s="1811"/>
      <c r="Y19" s="3236"/>
      <c r="Z19" s="1812" t="str">
        <f>Q19</f>
        <v>区域土地利用方向</v>
      </c>
      <c r="AA19" s="1809">
        <f t="shared" si="3"/>
        <v>1</v>
      </c>
      <c r="AB19" s="1809">
        <f t="shared" si="4"/>
        <v>1</v>
      </c>
      <c r="AC19" s="1809">
        <f t="shared" si="5"/>
        <v>1</v>
      </c>
    </row>
    <row r="20" spans="1:29" ht="15">
      <c r="A20" s="403"/>
      <c r="B20" s="631"/>
      <c r="C20" s="446"/>
      <c r="D20" s="447"/>
      <c r="E20" s="2607"/>
      <c r="F20" s="447"/>
      <c r="G20" s="2607"/>
      <c r="H20" s="447"/>
      <c r="I20" s="2607"/>
      <c r="J20" s="447"/>
      <c r="K20" s="810"/>
      <c r="L20" s="1138"/>
      <c r="M20" s="1129"/>
      <c r="N20" s="1129"/>
      <c r="O20" s="1137"/>
      <c r="P20" s="3236"/>
      <c r="Q20" s="1808"/>
      <c r="R20" s="772"/>
      <c r="S20" s="773"/>
      <c r="T20" s="772"/>
      <c r="U20" s="773"/>
      <c r="V20" s="772"/>
      <c r="W20" s="773"/>
      <c r="X20" s="1811"/>
      <c r="Y20" s="3236"/>
      <c r="Z20" s="1812"/>
      <c r="AA20" s="1809"/>
      <c r="AB20" s="1809"/>
      <c r="AC20" s="1809"/>
    </row>
    <row r="21" spans="1:29" ht="71.25">
      <c r="A21" s="403"/>
      <c r="B21" s="630" t="s">
        <v>2799</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6"/>
      <c r="Q21" s="1808" t="str">
        <f t="shared" si="8"/>
        <v>环境状况</v>
      </c>
      <c r="R21" s="772" t="s">
        <v>17</v>
      </c>
      <c r="S21" s="773">
        <f>F21</f>
        <v>100</v>
      </c>
      <c r="T21" s="772" t="s">
        <v>17</v>
      </c>
      <c r="U21" s="773">
        <f>H21</f>
        <v>100</v>
      </c>
      <c r="V21" s="772" t="s">
        <v>17</v>
      </c>
      <c r="W21" s="773">
        <f>J21</f>
        <v>100</v>
      </c>
      <c r="X21" s="1811"/>
      <c r="Y21" s="3236"/>
      <c r="Z21" s="1812" t="str">
        <f>Q21</f>
        <v>环境状况</v>
      </c>
      <c r="AA21" s="1809">
        <f t="shared" si="3"/>
        <v>1</v>
      </c>
      <c r="AB21" s="1809">
        <f t="shared" si="4"/>
        <v>1</v>
      </c>
      <c r="AC21" s="1809">
        <f t="shared" si="5"/>
        <v>1</v>
      </c>
    </row>
    <row r="22" spans="1:29" ht="15">
      <c r="A22" s="403"/>
      <c r="B22" s="631"/>
      <c r="C22" s="446"/>
      <c r="D22" s="447"/>
      <c r="E22" s="2613"/>
      <c r="F22" s="447"/>
      <c r="G22" s="2613"/>
      <c r="H22" s="447"/>
      <c r="I22" s="446"/>
      <c r="J22" s="447"/>
      <c r="K22" s="671"/>
      <c r="L22" s="1138"/>
      <c r="M22" s="1129"/>
      <c r="N22" s="1129"/>
      <c r="O22" s="1137"/>
      <c r="P22" s="3236"/>
      <c r="Q22" s="1808"/>
      <c r="R22" s="772"/>
      <c r="S22" s="773"/>
      <c r="T22" s="772"/>
      <c r="U22" s="773"/>
      <c r="V22" s="772"/>
      <c r="W22" s="773"/>
      <c r="X22" s="1811"/>
      <c r="Y22" s="3236"/>
      <c r="Z22" s="1812"/>
      <c r="AA22" s="1809">
        <v>1</v>
      </c>
      <c r="AB22" s="1809">
        <v>1</v>
      </c>
      <c r="AC22" s="1809">
        <v>1</v>
      </c>
    </row>
    <row r="23" spans="1:29" s="116" customFormat="1" ht="42.75">
      <c r="A23" s="648"/>
      <c r="B23" s="632" t="s">
        <v>2654</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6"/>
      <c r="Q23" s="1793" t="str">
        <f t="shared" si="8"/>
        <v>公共配套设施</v>
      </c>
      <c r="R23" s="768" t="s">
        <v>17</v>
      </c>
      <c r="S23" s="769">
        <f>F23</f>
        <v>100</v>
      </c>
      <c r="T23" s="768" t="s">
        <v>17</v>
      </c>
      <c r="U23" s="769">
        <f>H23</f>
        <v>100</v>
      </c>
      <c r="V23" s="768" t="s">
        <v>17</v>
      </c>
      <c r="W23" s="769">
        <f>J23</f>
        <v>100</v>
      </c>
      <c r="X23" s="770"/>
      <c r="Y23" s="3236"/>
      <c r="Z23" s="54" t="str">
        <f>Q23</f>
        <v>公共配套设施</v>
      </c>
      <c r="AA23" s="1809">
        <f>D23/F23</f>
        <v>1</v>
      </c>
      <c r="AB23" s="1809">
        <f>D23/H23</f>
        <v>1</v>
      </c>
      <c r="AC23" s="1809">
        <f>D23/J23</f>
        <v>1</v>
      </c>
    </row>
    <row r="24" spans="1:29" s="116" customFormat="1" ht="15">
      <c r="A24" s="648"/>
      <c r="B24" s="631"/>
      <c r="C24" s="2702"/>
      <c r="D24" s="447"/>
      <c r="E24" s="2613"/>
      <c r="F24" s="447"/>
      <c r="G24" s="2613"/>
      <c r="H24" s="447"/>
      <c r="I24" s="446"/>
      <c r="J24" s="447"/>
      <c r="K24" s="671"/>
      <c r="L24" s="1130"/>
      <c r="M24" s="1131"/>
      <c r="N24" s="1131"/>
      <c r="O24" s="1132"/>
      <c r="P24" s="3236"/>
      <c r="Q24" s="1793"/>
      <c r="R24" s="768"/>
      <c r="S24" s="769"/>
      <c r="T24" s="768"/>
      <c r="U24" s="769"/>
      <c r="V24" s="768"/>
      <c r="W24" s="769"/>
      <c r="X24" s="770"/>
      <c r="Y24" s="3236"/>
      <c r="Z24" s="54"/>
      <c r="AA24" s="771">
        <v>1</v>
      </c>
      <c r="AB24" s="771">
        <v>1</v>
      </c>
      <c r="AC24" s="771">
        <v>1</v>
      </c>
    </row>
    <row r="25" spans="1:29" s="116" customFormat="1" ht="28.5">
      <c r="A25" s="648"/>
      <c r="B25" s="632" t="s">
        <v>2655</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6"/>
      <c r="Q25" s="1793" t="str">
        <f t="shared" ref="Q25" si="9">B25</f>
        <v>基础设施水平</v>
      </c>
      <c r="R25" s="768" t="s">
        <v>17</v>
      </c>
      <c r="S25" s="769">
        <f>F25</f>
        <v>100</v>
      </c>
      <c r="T25" s="768" t="s">
        <v>17</v>
      </c>
      <c r="U25" s="769">
        <f>H25</f>
        <v>100</v>
      </c>
      <c r="V25" s="768" t="s">
        <v>17</v>
      </c>
      <c r="W25" s="769">
        <f>J25</f>
        <v>100</v>
      </c>
      <c r="X25" s="770"/>
      <c r="Y25" s="3236"/>
      <c r="Z25" s="54" t="str">
        <f>Q25</f>
        <v>基础设施水平</v>
      </c>
      <c r="AA25" s="1809">
        <f>D25/F25</f>
        <v>1</v>
      </c>
      <c r="AB25" s="1809">
        <f>D25/H25</f>
        <v>1</v>
      </c>
      <c r="AC25" s="1809">
        <f>D25/J25</f>
        <v>1</v>
      </c>
    </row>
    <row r="26" spans="1:29" s="116" customFormat="1" ht="15">
      <c r="A26" s="648"/>
      <c r="B26" s="631"/>
      <c r="C26" s="2702"/>
      <c r="D26" s="447"/>
      <c r="E26" s="2703"/>
      <c r="F26" s="447"/>
      <c r="G26" s="2703"/>
      <c r="H26" s="447"/>
      <c r="I26" s="2703"/>
      <c r="J26" s="447"/>
      <c r="K26" s="671"/>
      <c r="L26" s="1130"/>
      <c r="M26" s="1131"/>
      <c r="N26" s="1131"/>
      <c r="O26" s="1132"/>
      <c r="P26" s="3236"/>
      <c r="Q26" s="1793"/>
      <c r="R26" s="768"/>
      <c r="S26" s="769"/>
      <c r="T26" s="768"/>
      <c r="U26" s="769"/>
      <c r="V26" s="768"/>
      <c r="W26" s="769"/>
      <c r="X26" s="770"/>
      <c r="Y26" s="3236"/>
      <c r="Z26" s="54"/>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6"/>
      <c r="Z27" s="1812" t="str">
        <f t="shared" ref="Z27:Z40" si="13">Q27</f>
        <v>临街状况</v>
      </c>
      <c r="AA27" s="1809">
        <f t="shared" si="3"/>
        <v>1</v>
      </c>
      <c r="AB27" s="1809">
        <f t="shared" si="4"/>
        <v>1</v>
      </c>
      <c r="AC27" s="1809">
        <f t="shared" si="5"/>
        <v>1</v>
      </c>
    </row>
    <row r="28" spans="1:29" ht="27">
      <c r="A28" s="427"/>
      <c r="B28" s="632" t="s">
        <v>2691</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6"/>
      <c r="Q28" s="1808" t="str">
        <f t="shared" si="8"/>
        <v>毗邻道路的类型与等级</v>
      </c>
      <c r="R28" s="772" t="s">
        <v>17</v>
      </c>
      <c r="S28" s="773">
        <f t="shared" si="10"/>
        <v>100</v>
      </c>
      <c r="T28" s="772" t="s">
        <v>17</v>
      </c>
      <c r="U28" s="773">
        <f t="shared" si="11"/>
        <v>100</v>
      </c>
      <c r="V28" s="772" t="s">
        <v>17</v>
      </c>
      <c r="W28" s="773">
        <f t="shared" si="12"/>
        <v>100</v>
      </c>
      <c r="X28" s="1811"/>
      <c r="Y28" s="3236"/>
      <c r="Z28" s="1812" t="str">
        <f t="shared" si="13"/>
        <v>毗邻道路的类型与等级</v>
      </c>
      <c r="AA28" s="1809">
        <f t="shared" si="3"/>
        <v>1</v>
      </c>
      <c r="AB28" s="1809">
        <f t="shared" si="4"/>
        <v>1</v>
      </c>
      <c r="AC28" s="1809">
        <f t="shared" si="5"/>
        <v>1</v>
      </c>
    </row>
    <row r="29" spans="1:29" ht="15">
      <c r="A29" s="427"/>
      <c r="B29" s="631"/>
      <c r="C29" s="446"/>
      <c r="D29" s="447"/>
      <c r="E29" s="2613"/>
      <c r="F29" s="447"/>
      <c r="G29" s="2613"/>
      <c r="H29" s="447"/>
      <c r="I29" s="2613"/>
      <c r="J29" s="447"/>
      <c r="K29" s="612"/>
      <c r="L29" s="1138"/>
      <c r="M29" s="1129"/>
      <c r="N29" s="1129"/>
      <c r="O29" s="1137"/>
      <c r="P29" s="3236"/>
      <c r="Q29" s="1808"/>
      <c r="R29" s="772"/>
      <c r="S29" s="773"/>
      <c r="T29" s="772"/>
      <c r="U29" s="773"/>
      <c r="V29" s="772"/>
      <c r="W29" s="773"/>
      <c r="X29" s="1811"/>
      <c r="Y29" s="3236"/>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6"/>
      <c r="Q30" s="1808" t="str">
        <f t="shared" si="8"/>
        <v>土地级别</v>
      </c>
      <c r="R30" s="772" t="s">
        <v>17</v>
      </c>
      <c r="S30" s="773">
        <f t="shared" si="10"/>
        <v>100</v>
      </c>
      <c r="T30" s="772" t="s">
        <v>17</v>
      </c>
      <c r="U30" s="773">
        <f t="shared" si="11"/>
        <v>100</v>
      </c>
      <c r="V30" s="772" t="s">
        <v>17</v>
      </c>
      <c r="W30" s="773">
        <f t="shared" si="12"/>
        <v>100</v>
      </c>
      <c r="X30" s="1811"/>
      <c r="Y30" s="3236"/>
      <c r="Z30" s="1812" t="str">
        <f t="shared" si="13"/>
        <v>土地级别</v>
      </c>
      <c r="AA30" s="1809">
        <f t="shared" si="3"/>
        <v>1</v>
      </c>
      <c r="AB30" s="1809">
        <f t="shared" si="4"/>
        <v>1</v>
      </c>
      <c r="AC30" s="1809">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6"/>
      <c r="Q31" s="1808">
        <f t="shared" si="8"/>
        <v>111</v>
      </c>
      <c r="R31" s="772" t="s">
        <v>17</v>
      </c>
      <c r="S31" s="773">
        <f t="shared" si="10"/>
        <v>100</v>
      </c>
      <c r="T31" s="772" t="s">
        <v>17</v>
      </c>
      <c r="U31" s="773">
        <f t="shared" si="11"/>
        <v>100</v>
      </c>
      <c r="V31" s="772" t="s">
        <v>17</v>
      </c>
      <c r="W31" s="773">
        <f t="shared" si="12"/>
        <v>100</v>
      </c>
      <c r="X31" s="1811"/>
      <c r="Y31" s="3236"/>
      <c r="Z31" s="1812">
        <f t="shared" si="13"/>
        <v>111</v>
      </c>
      <c r="AA31" s="1809">
        <f t="shared" si="3"/>
        <v>1</v>
      </c>
      <c r="AB31" s="1809">
        <f t="shared" si="4"/>
        <v>1</v>
      </c>
      <c r="AC31" s="1809">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3" t="s">
        <v>2565</v>
      </c>
      <c r="Q32" s="1808">
        <f t="shared" si="8"/>
        <v>111</v>
      </c>
      <c r="R32" s="772" t="s">
        <v>17</v>
      </c>
      <c r="S32" s="773">
        <f t="shared" si="10"/>
        <v>100</v>
      </c>
      <c r="T32" s="772" t="s">
        <v>17</v>
      </c>
      <c r="U32" s="773">
        <f t="shared" si="11"/>
        <v>100</v>
      </c>
      <c r="V32" s="772" t="s">
        <v>17</v>
      </c>
      <c r="W32" s="773">
        <f t="shared" si="12"/>
        <v>100</v>
      </c>
      <c r="X32" s="1811"/>
      <c r="Y32" s="3240" t="s">
        <v>2565</v>
      </c>
      <c r="Z32" s="1812">
        <f t="shared" si="13"/>
        <v>111</v>
      </c>
      <c r="AA32" s="1809">
        <f t="shared" si="3"/>
        <v>1</v>
      </c>
      <c r="AB32" s="1809">
        <f t="shared" si="4"/>
        <v>1</v>
      </c>
      <c r="AC32" s="1809">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0"/>
      <c r="Q33" s="1808">
        <f t="shared" si="8"/>
        <v>111</v>
      </c>
      <c r="R33" s="775" t="s">
        <v>17</v>
      </c>
      <c r="S33" s="776">
        <f t="shared" si="10"/>
        <v>100</v>
      </c>
      <c r="T33" s="775" t="s">
        <v>17</v>
      </c>
      <c r="U33" s="776">
        <f t="shared" si="11"/>
        <v>100</v>
      </c>
      <c r="V33" s="775" t="s">
        <v>17</v>
      </c>
      <c r="W33" s="776">
        <f t="shared" si="12"/>
        <v>100</v>
      </c>
      <c r="X33" s="777"/>
      <c r="Y33" s="3240"/>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0"/>
      <c r="Q34" s="1808" t="str">
        <f>B34</f>
        <v>宗地面积</v>
      </c>
      <c r="R34" s="772" t="s">
        <v>17</v>
      </c>
      <c r="S34" s="773" t="e">
        <f t="shared" si="10"/>
        <v>#N/A</v>
      </c>
      <c r="T34" s="772" t="s">
        <v>17</v>
      </c>
      <c r="U34" s="773" t="e">
        <f t="shared" si="11"/>
        <v>#N/A</v>
      </c>
      <c r="V34" s="772" t="s">
        <v>17</v>
      </c>
      <c r="W34" s="773" t="e">
        <f t="shared" si="12"/>
        <v>#N/A</v>
      </c>
      <c r="X34" s="1811"/>
      <c r="Y34" s="3240"/>
      <c r="Z34" s="1812" t="str">
        <f t="shared" si="13"/>
        <v>宗地面积</v>
      </c>
      <c r="AA34" s="1809" t="e">
        <f t="shared" si="3"/>
        <v>#N/A</v>
      </c>
      <c r="AB34" s="1809" t="e">
        <f t="shared" si="4"/>
        <v>#N/A</v>
      </c>
      <c r="AC34" s="1809" t="e">
        <f t="shared" si="5"/>
        <v>#N/A</v>
      </c>
    </row>
    <row r="35" spans="1:29" ht="15">
      <c r="A35" s="471"/>
      <c r="B35" s="421" t="s">
        <v>2752</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38"/>
      <c r="M35" s="1129"/>
      <c r="N35" s="1129"/>
      <c r="O35" s="1137"/>
      <c r="P35" s="3240"/>
      <c r="Q35" s="1808" t="str">
        <f t="shared" ref="Q35:Q40" si="14">B35</f>
        <v>宗地形状</v>
      </c>
      <c r="R35" s="772" t="s">
        <v>17</v>
      </c>
      <c r="S35" s="773">
        <f t="shared" si="10"/>
        <v>100</v>
      </c>
      <c r="T35" s="772" t="s">
        <v>17</v>
      </c>
      <c r="U35" s="773">
        <f t="shared" si="11"/>
        <v>100</v>
      </c>
      <c r="V35" s="772" t="s">
        <v>17</v>
      </c>
      <c r="W35" s="773">
        <f t="shared" si="12"/>
        <v>100</v>
      </c>
      <c r="X35" s="1811"/>
      <c r="Y35" s="3240"/>
      <c r="Z35" s="1812" t="str">
        <f t="shared" si="13"/>
        <v>宗地形状</v>
      </c>
      <c r="AA35" s="1809">
        <f t="shared" si="3"/>
        <v>1</v>
      </c>
      <c r="AB35" s="1809">
        <f t="shared" si="4"/>
        <v>1</v>
      </c>
      <c r="AC35" s="1809">
        <f t="shared" si="5"/>
        <v>1</v>
      </c>
    </row>
    <row r="36" spans="1:29" s="116" customFormat="1" ht="15">
      <c r="A36" s="472"/>
      <c r="B36" s="421" t="s">
        <v>2754</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0"/>
      <c r="M36" s="1131"/>
      <c r="N36" s="1131"/>
      <c r="O36" s="1132"/>
      <c r="P36" s="3240"/>
      <c r="Q36" s="1808" t="str">
        <f t="shared" si="14"/>
        <v>宗地开发程度</v>
      </c>
      <c r="R36" s="768" t="s">
        <v>17</v>
      </c>
      <c r="S36" s="769">
        <f t="shared" si="10"/>
        <v>100</v>
      </c>
      <c r="T36" s="768" t="s">
        <v>17</v>
      </c>
      <c r="U36" s="769">
        <f t="shared" si="11"/>
        <v>100</v>
      </c>
      <c r="V36" s="768" t="s">
        <v>17</v>
      </c>
      <c r="W36" s="769">
        <f t="shared" si="12"/>
        <v>100</v>
      </c>
      <c r="X36" s="770"/>
      <c r="Y36" s="3240"/>
      <c r="Z36" s="54" t="str">
        <f t="shared" si="13"/>
        <v>宗地开发程度</v>
      </c>
      <c r="AA36" s="771">
        <f t="shared" si="3"/>
        <v>1</v>
      </c>
      <c r="AB36" s="771">
        <f t="shared" si="4"/>
        <v>1</v>
      </c>
      <c r="AC36" s="771">
        <f t="shared" si="5"/>
        <v>1</v>
      </c>
    </row>
    <row r="37" spans="1:29" ht="15">
      <c r="A37" s="471"/>
      <c r="B37" s="421" t="s">
        <v>2755</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38"/>
      <c r="M37" s="1129"/>
      <c r="N37" s="1129"/>
      <c r="O37" s="1137"/>
      <c r="P37" s="3240" t="s">
        <v>2565</v>
      </c>
      <c r="Q37" s="1808" t="str">
        <f t="shared" si="14"/>
        <v>工程地质条件</v>
      </c>
      <c r="R37" s="772" t="s">
        <v>17</v>
      </c>
      <c r="S37" s="773">
        <f t="shared" si="10"/>
        <v>100</v>
      </c>
      <c r="T37" s="772" t="s">
        <v>17</v>
      </c>
      <c r="U37" s="773">
        <f t="shared" si="11"/>
        <v>100</v>
      </c>
      <c r="V37" s="772" t="s">
        <v>17</v>
      </c>
      <c r="W37" s="773">
        <f t="shared" si="12"/>
        <v>100</v>
      </c>
      <c r="X37" s="1811"/>
      <c r="Y37" s="3240"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0"/>
      <c r="Q38" s="1808">
        <f t="shared" si="14"/>
        <v>111</v>
      </c>
      <c r="R38" s="772" t="s">
        <v>17</v>
      </c>
      <c r="S38" s="773">
        <f t="shared" si="10"/>
        <v>100</v>
      </c>
      <c r="T38" s="772" t="s">
        <v>17</v>
      </c>
      <c r="U38" s="773">
        <f t="shared" si="11"/>
        <v>100</v>
      </c>
      <c r="V38" s="772" t="s">
        <v>17</v>
      </c>
      <c r="W38" s="773">
        <f t="shared" si="12"/>
        <v>100</v>
      </c>
      <c r="X38" s="1811"/>
      <c r="Y38" s="3240"/>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0"/>
      <c r="Q39" s="1808">
        <f t="shared" si="14"/>
        <v>111</v>
      </c>
      <c r="R39" s="772" t="s">
        <v>17</v>
      </c>
      <c r="S39" s="773">
        <f t="shared" si="10"/>
        <v>100</v>
      </c>
      <c r="T39" s="772" t="s">
        <v>17</v>
      </c>
      <c r="U39" s="773">
        <f t="shared" si="11"/>
        <v>100</v>
      </c>
      <c r="V39" s="772" t="s">
        <v>17</v>
      </c>
      <c r="W39" s="773">
        <f t="shared" si="12"/>
        <v>100</v>
      </c>
      <c r="X39" s="1811"/>
      <c r="Y39" s="3240"/>
      <c r="Z39" s="1812">
        <f t="shared" si="13"/>
        <v>111</v>
      </c>
      <c r="AA39" s="1809">
        <f t="shared" si="3"/>
        <v>1</v>
      </c>
      <c r="AB39" s="1809">
        <f t="shared" si="4"/>
        <v>1</v>
      </c>
      <c r="AC39" s="1809">
        <f t="shared" si="5"/>
        <v>1</v>
      </c>
    </row>
    <row r="40" spans="1:29" s="470" customFormat="1" ht="15.75" thickBot="1">
      <c r="A40" s="467"/>
      <c r="B40" s="1385">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0"/>
      <c r="Q40" s="1808">
        <f t="shared" si="14"/>
        <v>111</v>
      </c>
      <c r="R40" s="775" t="s">
        <v>17</v>
      </c>
      <c r="S40" s="776">
        <f t="shared" si="10"/>
        <v>100</v>
      </c>
      <c r="T40" s="775" t="s">
        <v>17</v>
      </c>
      <c r="U40" s="776">
        <f t="shared" si="11"/>
        <v>100</v>
      </c>
      <c r="V40" s="775" t="s">
        <v>17</v>
      </c>
      <c r="W40" s="776">
        <f t="shared" si="12"/>
        <v>100</v>
      </c>
      <c r="X40" s="777"/>
      <c r="Y40" s="3240"/>
      <c r="Z40" s="778">
        <f t="shared" si="13"/>
        <v>111</v>
      </c>
      <c r="AA40" s="1809">
        <f t="shared" si="3"/>
        <v>1</v>
      </c>
      <c r="AB40" s="1809">
        <f t="shared" si="4"/>
        <v>1</v>
      </c>
      <c r="AC40" s="1809">
        <f t="shared" si="5"/>
        <v>1</v>
      </c>
    </row>
    <row r="41" spans="1:29" ht="15">
      <c r="A41" s="478" t="s">
        <v>2720</v>
      </c>
      <c r="B41" s="2706" t="s">
        <v>2800</v>
      </c>
      <c r="C41" s="681" t="s">
        <v>1</v>
      </c>
      <c r="D41" s="480"/>
      <c r="E41" s="481"/>
      <c r="F41" s="482"/>
      <c r="G41" s="483"/>
      <c r="H41" s="484"/>
      <c r="I41" s="481"/>
      <c r="J41" s="484"/>
      <c r="K41" s="781"/>
      <c r="L41" s="1141"/>
      <c r="M41" s="1129"/>
      <c r="N41" s="1129"/>
      <c r="O41" s="1142"/>
      <c r="P41" s="3242" t="str">
        <f>A41</f>
        <v>成交单价</v>
      </c>
      <c r="Q41" s="3242"/>
      <c r="R41" s="3204">
        <f>E41</f>
        <v>0</v>
      </c>
      <c r="S41" s="3204"/>
      <c r="T41" s="3204">
        <f>G41</f>
        <v>0</v>
      </c>
      <c r="U41" s="3204"/>
      <c r="V41" s="3204">
        <f>I41</f>
        <v>0</v>
      </c>
      <c r="W41" s="3204"/>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242" t="str">
        <f>A42</f>
        <v>比较价值（元/平方米）</v>
      </c>
      <c r="Q42" s="3242"/>
      <c r="R42" s="3264" t="e">
        <f>ROUND(PRODUCT(R41,AA7:AA40),0)</f>
        <v>#DIV/0!</v>
      </c>
      <c r="S42" s="3264"/>
      <c r="T42" s="3264" t="e">
        <f>ROUND(PRODUCT(T41,AB7:AB40),0)</f>
        <v>#DIV/0!</v>
      </c>
      <c r="U42" s="3264"/>
      <c r="V42" s="3264" t="e">
        <f>ROUND(PRODUCT(V41,AC7:AC40),0)</f>
        <v>#DIV/0!</v>
      </c>
      <c r="W42" s="3264"/>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244" t="str">
        <f>A43</f>
        <v>估价对象XX用房的比较价值（楼面单价，元/平方米）</v>
      </c>
      <c r="Q43" s="3245"/>
      <c r="R43" s="3265" t="e">
        <f>ROUND(AVERAGE(R42:V42),0)</f>
        <v>#DIV/0!</v>
      </c>
      <c r="S43" s="3265"/>
      <c r="T43" s="3265"/>
      <c r="U43" s="3265"/>
      <c r="V43" s="3265"/>
      <c r="W43" s="326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7" t="s">
        <v>2760</v>
      </c>
      <c r="D50" s="2708" t="s">
        <v>2761</v>
      </c>
      <c r="E50" s="685" t="s">
        <v>2762</v>
      </c>
      <c r="F50" s="686" t="s">
        <v>2763</v>
      </c>
      <c r="G50" s="3220" t="s">
        <v>2764</v>
      </c>
      <c r="H50" s="3266"/>
      <c r="I50" s="1812" t="s">
        <v>2801</v>
      </c>
      <c r="J50" s="1812">
        <f>项目基本情况!F35</f>
        <v>0</v>
      </c>
      <c r="K50" s="2710" t="s">
        <v>2766</v>
      </c>
      <c r="L50" s="1104"/>
      <c r="M50" s="1142"/>
      <c r="N50" s="1142"/>
      <c r="O50" s="1142"/>
    </row>
    <row r="51" spans="1:17" s="691" customFormat="1">
      <c r="A51" s="687" t="s">
        <v>2767</v>
      </c>
      <c r="B51" s="688" t="e">
        <f>C43</f>
        <v>#DIV/0!</v>
      </c>
      <c r="C51" s="689">
        <v>1</v>
      </c>
      <c r="D51" s="1161">
        <v>1</v>
      </c>
      <c r="E51" s="689">
        <f>'数据-汇总表'!E8+'数据-汇总表'!E9</f>
        <v>2215.16</v>
      </c>
      <c r="F51" s="690" t="e">
        <f t="shared" ref="F51:F60" si="15">ROUND(B51*E51/10000,0)</f>
        <v>#DIV/0!</v>
      </c>
      <c r="G51" s="3219"/>
      <c r="H51" s="3242"/>
      <c r="I51" s="940">
        <v>1</v>
      </c>
      <c r="J51" s="940">
        <v>1</v>
      </c>
      <c r="K51" s="1143"/>
      <c r="L51" s="939"/>
      <c r="M51" s="939"/>
      <c r="N51" s="939"/>
      <c r="O51" s="939"/>
    </row>
    <row r="52" spans="1:17" s="691" customFormat="1">
      <c r="A52" s="692" t="s">
        <v>2768</v>
      </c>
      <c r="B52" s="261" t="e">
        <f>ROUND($C$43*C52*D52,0)</f>
        <v>#DIV/0!</v>
      </c>
      <c r="C52" s="199">
        <f t="shared" ref="C52:C60" si="16">IF($C$50="北京市系数",I52,J52)</f>
        <v>0</v>
      </c>
      <c r="D52" s="1162">
        <v>0.25</v>
      </c>
      <c r="E52" s="693"/>
      <c r="F52" s="690" t="e">
        <f t="shared" si="15"/>
        <v>#DIV/0!</v>
      </c>
      <c r="G52" s="3267" t="s">
        <v>2769</v>
      </c>
      <c r="H52" s="1102">
        <f>项目基本情况!B37</f>
        <v>0</v>
      </c>
      <c r="I52" s="940">
        <f>SUMIF(修正!A45:A56,H52,修正!B45:B56)</f>
        <v>0</v>
      </c>
      <c r="J52" s="941"/>
      <c r="K52" s="1142"/>
      <c r="L52" s="939"/>
      <c r="M52" s="939"/>
      <c r="N52" s="939"/>
      <c r="O52" s="939"/>
    </row>
    <row r="53" spans="1:17" s="691" customFormat="1">
      <c r="A53" s="692" t="s">
        <v>2770</v>
      </c>
      <c r="B53" s="261" t="e">
        <f t="shared" ref="B53:B60" si="17">ROUND($C$43*C53*D53,0)</f>
        <v>#DIV/0!</v>
      </c>
      <c r="C53" s="199">
        <f t="shared" si="16"/>
        <v>0</v>
      </c>
      <c r="D53" s="1162">
        <v>0.25</v>
      </c>
      <c r="E53" s="693"/>
      <c r="F53" s="690" t="e">
        <f t="shared" si="15"/>
        <v>#DIV/0!</v>
      </c>
      <c r="G53" s="3267"/>
      <c r="H53" s="1102">
        <f>项目基本情况!B37</f>
        <v>0</v>
      </c>
      <c r="I53" s="940">
        <f>SUMIF(修正!A45:A56,H53,修正!C45:C56)</f>
        <v>0</v>
      </c>
      <c r="J53" s="941"/>
      <c r="K53" s="1143"/>
      <c r="L53" s="939"/>
      <c r="M53" s="939"/>
      <c r="N53" s="939"/>
      <c r="O53" s="939"/>
    </row>
    <row r="54" spans="1:17" s="691" customFormat="1">
      <c r="A54" s="692" t="s">
        <v>2771</v>
      </c>
      <c r="B54" s="261" t="e">
        <f t="shared" si="17"/>
        <v>#DIV/0!</v>
      </c>
      <c r="C54" s="199">
        <f t="shared" si="16"/>
        <v>0</v>
      </c>
      <c r="D54" s="1162">
        <v>0.25</v>
      </c>
      <c r="E54" s="693"/>
      <c r="F54" s="690" t="e">
        <f t="shared" si="15"/>
        <v>#DIV/0!</v>
      </c>
      <c r="G54" s="3267"/>
      <c r="H54" s="1102">
        <f>项目基本情况!B37</f>
        <v>0</v>
      </c>
      <c r="I54" s="940">
        <f>SUMIF(修正!A45:A56,H54,修正!D45:D56)</f>
        <v>0</v>
      </c>
      <c r="J54" s="941"/>
      <c r="K54" s="1142"/>
      <c r="L54" s="939"/>
      <c r="M54" s="939"/>
      <c r="N54" s="939"/>
      <c r="O54" s="939"/>
    </row>
    <row r="55" spans="1:17" s="691" customFormat="1">
      <c r="A55" s="692" t="s">
        <v>2772</v>
      </c>
      <c r="B55" s="261" t="e">
        <f t="shared" si="17"/>
        <v>#DIV/0!</v>
      </c>
      <c r="C55" s="199">
        <f t="shared" si="16"/>
        <v>0</v>
      </c>
      <c r="D55" s="1162">
        <v>0.25</v>
      </c>
      <c r="E55" s="693"/>
      <c r="F55" s="690" t="e">
        <f t="shared" si="15"/>
        <v>#DIV/0!</v>
      </c>
      <c r="G55" s="3267"/>
      <c r="H55" s="1102">
        <f>项目基本情况!B37</f>
        <v>0</v>
      </c>
      <c r="I55" s="940">
        <f>SUMIF(修正!A45:A56,H55,修正!E45:E56)</f>
        <v>0</v>
      </c>
      <c r="J55" s="941"/>
      <c r="K55" s="1143"/>
      <c r="L55" s="939"/>
      <c r="M55" s="939"/>
      <c r="N55" s="939"/>
      <c r="O55" s="939"/>
    </row>
    <row r="56" spans="1:17" s="691" customFormat="1">
      <c r="A56" s="692" t="s">
        <v>2773</v>
      </c>
      <c r="B56" s="261" t="e">
        <f t="shared" si="17"/>
        <v>#DIV/0!</v>
      </c>
      <c r="C56" s="199">
        <f t="shared" si="16"/>
        <v>0.3</v>
      </c>
      <c r="D56" s="1162">
        <v>0.25</v>
      </c>
      <c r="E56" s="260">
        <f>'数据-汇总表'!E11</f>
        <v>0</v>
      </c>
      <c r="F56" s="690" t="e">
        <f t="shared" si="15"/>
        <v>#DIV/0!</v>
      </c>
      <c r="G56" s="2711" t="s">
        <v>2774</v>
      </c>
      <c r="H56" s="1102" t="str">
        <f>项目基本情况!C37</f>
        <v>二级</v>
      </c>
      <c r="I56" s="940">
        <f>SUMIF(修正!A45:A56,H56,修正!F45:F56)</f>
        <v>0.3</v>
      </c>
      <c r="J56" s="941"/>
      <c r="K56" s="1142"/>
      <c r="L56" s="939"/>
      <c r="M56" s="939"/>
      <c r="N56" s="939"/>
      <c r="O56" s="939"/>
    </row>
    <row r="57" spans="1:17" s="691" customFormat="1">
      <c r="A57" s="692" t="s">
        <v>2775</v>
      </c>
      <c r="B57" s="261" t="e">
        <f t="shared" si="17"/>
        <v>#DIV/0!</v>
      </c>
      <c r="C57" s="199">
        <f t="shared" si="16"/>
        <v>0.3</v>
      </c>
      <c r="D57" s="1162">
        <v>0.25</v>
      </c>
      <c r="E57" s="260">
        <f>'数据-汇总表'!E12</f>
        <v>0</v>
      </c>
      <c r="F57" s="690" t="e">
        <f t="shared" si="15"/>
        <v>#DIV/0!</v>
      </c>
      <c r="G57" s="1107" t="s">
        <v>2776</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1" customFormat="1">
      <c r="A58" s="692" t="s">
        <v>2777</v>
      </c>
      <c r="B58" s="261" t="e">
        <f t="shared" si="17"/>
        <v>#DIV/0!</v>
      </c>
      <c r="C58" s="199">
        <f t="shared" si="16"/>
        <v>0.25</v>
      </c>
      <c r="D58" s="1162">
        <v>0.25</v>
      </c>
      <c r="E58" s="260">
        <f>'数据-汇总表'!E13</f>
        <v>0</v>
      </c>
      <c r="F58" s="690" t="e">
        <f t="shared" si="15"/>
        <v>#DIV/0!</v>
      </c>
      <c r="G58" s="1107" t="s">
        <v>2778</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1" customFormat="1">
      <c r="A59" s="692" t="s">
        <v>2779</v>
      </c>
      <c r="B59" s="261" t="e">
        <f t="shared" si="17"/>
        <v>#DIV/0!</v>
      </c>
      <c r="C59" s="199">
        <f t="shared" si="16"/>
        <v>0</v>
      </c>
      <c r="D59" s="1162">
        <v>0.25</v>
      </c>
      <c r="E59" s="260">
        <f>'数据-汇总表'!E14</f>
        <v>0</v>
      </c>
      <c r="F59" s="690" t="e">
        <f t="shared" si="15"/>
        <v>#DIV/0!</v>
      </c>
      <c r="G59" s="2711" t="s">
        <v>2769</v>
      </c>
      <c r="H59" s="1102">
        <f>项目基本情况!B37</f>
        <v>0</v>
      </c>
      <c r="I59" s="940">
        <f>SUMIF(修正!A45:A56,H59,修正!H45:H56)</f>
        <v>0</v>
      </c>
      <c r="J59" s="941"/>
      <c r="K59" s="1143"/>
      <c r="L59" s="939"/>
      <c r="M59" s="939"/>
      <c r="N59" s="939"/>
      <c r="O59" s="939"/>
    </row>
    <row r="60" spans="1:17" s="691" customFormat="1" ht="15" thickBot="1">
      <c r="A60" s="692" t="s">
        <v>2780</v>
      </c>
      <c r="B60" s="261" t="e">
        <f t="shared" si="17"/>
        <v>#DIV/0!</v>
      </c>
      <c r="C60" s="199">
        <f t="shared" si="16"/>
        <v>0.25</v>
      </c>
      <c r="D60" s="1162">
        <v>0.25</v>
      </c>
      <c r="E60" s="260">
        <f>'数据-汇总表'!E15</f>
        <v>0</v>
      </c>
      <c r="F60" s="690" t="e">
        <f t="shared" si="15"/>
        <v>#DIV/0!</v>
      </c>
      <c r="G60" s="2712" t="s">
        <v>2774</v>
      </c>
      <c r="H60" s="1112" t="str">
        <f>项目基本情况!C37</f>
        <v>二级</v>
      </c>
      <c r="I60" s="940">
        <f>SUMIF(修正!A45:A56,H60,修正!H45:H56)</f>
        <v>0.25</v>
      </c>
      <c r="J60" s="941"/>
      <c r="K60" s="1142"/>
      <c r="L60" s="939"/>
      <c r="M60" s="939"/>
      <c r="N60" s="939"/>
      <c r="O60" s="939"/>
    </row>
    <row r="61" spans="1:17" s="691" customFormat="1" ht="15" thickBot="1">
      <c r="A61" s="694" t="s">
        <v>2781</v>
      </c>
      <c r="B61" s="695" t="s">
        <v>28</v>
      </c>
      <c r="C61" s="695" t="s">
        <v>29</v>
      </c>
      <c r="D61" s="695" t="s">
        <v>1026</v>
      </c>
      <c r="E61" s="695">
        <f>IF(B41="楼面地价",SUM(E51:E60),'数据-汇总表'!D3)</f>
        <v>95.610000000000014</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13" t="s">
        <v>2782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8" t="s">
        <v>2802</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2557</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2691</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2750</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2792</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2" priority="14" stopIfTrue="1" operator="containsText" text="超过">
      <formula>NOT(ISERROR(SEARCH("超过",F46)))</formula>
    </cfRule>
  </conditionalFormatting>
  <conditionalFormatting sqref="J48">
    <cfRule type="containsText" dxfId="51" priority="13" stopIfTrue="1" operator="containsText" text="超过">
      <formula>NOT(ISERROR(SEARCH("超过",J48)))</formula>
    </cfRule>
  </conditionalFormatting>
  <conditionalFormatting sqref="H48">
    <cfRule type="containsText" dxfId="50" priority="12" stopIfTrue="1" operator="containsText" text="超过">
      <formula>NOT(ISERROR(SEARCH("超过",H48)))</formula>
    </cfRule>
  </conditionalFormatting>
  <conditionalFormatting sqref="F48">
    <cfRule type="containsText" dxfId="49" priority="11" stopIfTrue="1" operator="containsText" text="超过">
      <formula>NOT(ISERROR(SEARCH("超过",F48)))</formula>
    </cfRule>
  </conditionalFormatting>
  <conditionalFormatting sqref="F47 H47 J47">
    <cfRule type="containsText" dxfId="48" priority="10" stopIfTrue="1" operator="containsText" text="超过">
      <formula>NOT(ISERROR(SEARCH("超过",F47)))</formula>
    </cfRule>
  </conditionalFormatting>
  <conditionalFormatting sqref="E46">
    <cfRule type="expression" dxfId="47" priority="9" stopIfTrue="1">
      <formula>$F$46="超过30%"</formula>
    </cfRule>
  </conditionalFormatting>
  <conditionalFormatting sqref="G48">
    <cfRule type="expression" dxfId="46" priority="8" stopIfTrue="1">
      <formula>$H$48="超过30%"</formula>
    </cfRule>
  </conditionalFormatting>
  <conditionalFormatting sqref="E48">
    <cfRule type="expression" dxfId="45" priority="6" stopIfTrue="1">
      <formula>$F$48="超过30%"</formula>
    </cfRule>
  </conditionalFormatting>
  <conditionalFormatting sqref="G46">
    <cfRule type="expression" dxfId="44" priority="5" stopIfTrue="1">
      <formula>$H$46="超过30%"</formula>
    </cfRule>
  </conditionalFormatting>
  <conditionalFormatting sqref="G47">
    <cfRule type="expression" dxfId="43" priority="4" stopIfTrue="1">
      <formula>$H$47="超过20%"</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conditionalFormatting sqref="E47">
    <cfRule type="expression" dxfId="3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2" t="s">
        <v>183</v>
      </c>
      <c r="B18" s="880" t="s">
        <v>560</v>
      </c>
      <c r="C18" s="881" t="s">
        <v>561</v>
      </c>
      <c r="D18" s="882"/>
      <c r="E18" s="880">
        <v>1</v>
      </c>
      <c r="F18" s="883" t="s">
        <v>562</v>
      </c>
      <c r="G18" s="884"/>
      <c r="H18" s="876"/>
      <c r="I18" s="876"/>
    </row>
    <row r="19" spans="1:9" s="885" customFormat="1" ht="19.5" customHeight="1">
      <c r="A19" s="3272"/>
      <c r="B19" s="3272" t="s">
        <v>563</v>
      </c>
      <c r="C19" s="881" t="s">
        <v>564</v>
      </c>
      <c r="D19" s="882"/>
      <c r="E19" s="880">
        <v>0.9</v>
      </c>
      <c r="F19" s="883" t="s">
        <v>565</v>
      </c>
      <c r="G19" s="884"/>
      <c r="H19" s="876"/>
      <c r="I19" s="876"/>
    </row>
    <row r="20" spans="1:9" s="885" customFormat="1" ht="19.5" customHeight="1">
      <c r="A20" s="3272"/>
      <c r="B20" s="3272"/>
      <c r="C20" s="881" t="s">
        <v>566</v>
      </c>
      <c r="D20" s="882"/>
      <c r="E20" s="880">
        <v>1.1000000000000001</v>
      </c>
      <c r="F20" s="883" t="s">
        <v>567</v>
      </c>
      <c r="G20" s="884"/>
      <c r="H20" s="876"/>
      <c r="I20" s="876"/>
    </row>
    <row r="21" spans="1:9" s="885" customFormat="1" ht="19.5" customHeight="1">
      <c r="A21" s="3272"/>
      <c r="B21" s="3272"/>
      <c r="C21" s="881" t="s">
        <v>568</v>
      </c>
      <c r="D21" s="882"/>
      <c r="E21" s="880">
        <v>0.8</v>
      </c>
      <c r="F21" s="883" t="s">
        <v>569</v>
      </c>
      <c r="G21" s="884"/>
      <c r="H21" s="876"/>
      <c r="I21" s="876"/>
    </row>
    <row r="22" spans="1:9" s="885" customFormat="1" ht="19.5" customHeight="1">
      <c r="A22" s="3272"/>
      <c r="B22" s="3272"/>
      <c r="C22" s="881" t="s">
        <v>570</v>
      </c>
      <c r="D22" s="882"/>
      <c r="E22" s="880">
        <v>0.5</v>
      </c>
      <c r="F22" s="883"/>
      <c r="G22" s="884"/>
      <c r="H22" s="876"/>
      <c r="I22" s="876"/>
    </row>
    <row r="23" spans="1:9" s="885" customFormat="1" ht="19.5" customHeight="1">
      <c r="A23" s="3272" t="s">
        <v>184</v>
      </c>
      <c r="B23" s="880" t="s">
        <v>560</v>
      </c>
      <c r="C23" s="881" t="s">
        <v>571</v>
      </c>
      <c r="D23" s="882"/>
      <c r="E23" s="880">
        <v>1</v>
      </c>
      <c r="F23" s="883" t="s">
        <v>572</v>
      </c>
      <c r="G23" s="884"/>
      <c r="H23" s="876"/>
      <c r="I23" s="876"/>
    </row>
    <row r="24" spans="1:9" s="885" customFormat="1" ht="19.5" customHeight="1">
      <c r="A24" s="3272"/>
      <c r="B24" s="3272" t="s">
        <v>563</v>
      </c>
      <c r="C24" s="881" t="s">
        <v>573</v>
      </c>
      <c r="D24" s="882"/>
      <c r="E24" s="880">
        <v>0.5</v>
      </c>
      <c r="F24" s="883"/>
      <c r="G24" s="884"/>
      <c r="H24" s="876"/>
      <c r="I24" s="876"/>
    </row>
    <row r="25" spans="1:9" s="885" customFormat="1" ht="19.5" customHeight="1">
      <c r="A25" s="3272"/>
      <c r="B25" s="3272"/>
      <c r="C25" s="881" t="s">
        <v>574</v>
      </c>
      <c r="D25" s="882"/>
      <c r="E25" s="880">
        <v>1.1000000000000001</v>
      </c>
      <c r="F25" s="883"/>
      <c r="G25" s="884"/>
      <c r="H25" s="876"/>
      <c r="I25" s="876"/>
    </row>
    <row r="26" spans="1:9" s="885" customFormat="1" ht="19.5" customHeight="1">
      <c r="A26" s="3272"/>
      <c r="B26" s="3272"/>
      <c r="C26" s="881" t="s">
        <v>575</v>
      </c>
      <c r="D26" s="882"/>
      <c r="E26" s="880">
        <v>1.1000000000000001</v>
      </c>
      <c r="F26" s="883"/>
      <c r="G26" s="884"/>
      <c r="H26" s="876"/>
      <c r="I26" s="876"/>
    </row>
    <row r="27" spans="1:9" s="885" customFormat="1" ht="19.5" customHeight="1">
      <c r="A27" s="3272"/>
      <c r="B27" s="3272"/>
      <c r="C27" s="881" t="s">
        <v>576</v>
      </c>
      <c r="D27" s="882"/>
      <c r="E27" s="880">
        <v>0.9</v>
      </c>
      <c r="F27" s="883" t="s">
        <v>577</v>
      </c>
      <c r="G27" s="884"/>
      <c r="H27" s="876"/>
      <c r="I27" s="876"/>
    </row>
    <row r="28" spans="1:9" s="885" customFormat="1" ht="19.5" customHeight="1">
      <c r="A28" s="3272"/>
      <c r="B28" s="3272"/>
      <c r="C28" s="881" t="s">
        <v>578</v>
      </c>
      <c r="D28" s="882"/>
      <c r="E28" s="880">
        <v>0.9</v>
      </c>
      <c r="F28" s="883" t="s">
        <v>579</v>
      </c>
      <c r="G28" s="884"/>
      <c r="H28" s="876"/>
      <c r="I28" s="876"/>
    </row>
    <row r="29" spans="1:9" s="885" customFormat="1" ht="19.5" customHeight="1">
      <c r="A29" s="3272"/>
      <c r="B29" s="3272"/>
      <c r="C29" s="881" t="s">
        <v>580</v>
      </c>
      <c r="D29" s="882"/>
      <c r="E29" s="880">
        <v>0.9</v>
      </c>
      <c r="F29" s="883" t="s">
        <v>581</v>
      </c>
      <c r="G29" s="884"/>
      <c r="H29" s="876"/>
      <c r="I29" s="876"/>
    </row>
    <row r="30" spans="1:9" s="885" customFormat="1" ht="19.5" customHeight="1">
      <c r="A30" s="3272"/>
      <c r="B30" s="3272"/>
      <c r="C30" s="881" t="s">
        <v>582</v>
      </c>
      <c r="D30" s="882"/>
      <c r="E30" s="880">
        <v>0.9</v>
      </c>
      <c r="F30" s="883" t="s">
        <v>583</v>
      </c>
      <c r="G30" s="884"/>
      <c r="H30" s="876"/>
      <c r="I30" s="876"/>
    </row>
    <row r="31" spans="1:9" s="885" customFormat="1" ht="19.5" customHeight="1">
      <c r="A31" s="3272"/>
      <c r="B31" s="3272"/>
      <c r="C31" s="881" t="s">
        <v>584</v>
      </c>
      <c r="D31" s="882"/>
      <c r="E31" s="880">
        <v>0.8</v>
      </c>
      <c r="F31" s="883" t="s">
        <v>585</v>
      </c>
      <c r="G31" s="884"/>
      <c r="H31" s="876"/>
      <c r="I31" s="876"/>
    </row>
    <row r="32" spans="1:9" s="885" customFormat="1" ht="19.5" customHeight="1">
      <c r="A32" s="3272"/>
      <c r="B32" s="3272"/>
      <c r="C32" s="881" t="s">
        <v>586</v>
      </c>
      <c r="D32" s="882"/>
      <c r="E32" s="880">
        <v>0.8</v>
      </c>
      <c r="F32" s="883" t="s">
        <v>587</v>
      </c>
      <c r="G32" s="884"/>
      <c r="H32" s="876"/>
      <c r="I32" s="876"/>
    </row>
    <row r="33" spans="1:9" s="885" customFormat="1" ht="19.5" customHeight="1">
      <c r="A33" s="3272" t="s">
        <v>185</v>
      </c>
      <c r="B33" s="880" t="s">
        <v>560</v>
      </c>
      <c r="C33" s="881" t="s">
        <v>588</v>
      </c>
      <c r="D33" s="882"/>
      <c r="E33" s="880">
        <v>1</v>
      </c>
      <c r="F33" s="883" t="s">
        <v>589</v>
      </c>
      <c r="G33" s="884"/>
      <c r="H33" s="876"/>
      <c r="I33" s="876"/>
    </row>
    <row r="34" spans="1:9" s="885" customFormat="1" ht="19.5" customHeight="1">
      <c r="A34" s="3272"/>
      <c r="B34" s="880" t="s">
        <v>563</v>
      </c>
      <c r="C34" s="881" t="s">
        <v>590</v>
      </c>
      <c r="D34" s="882"/>
      <c r="E34" s="880">
        <v>1.5</v>
      </c>
      <c r="F34" s="883" t="s">
        <v>591</v>
      </c>
      <c r="G34" s="884"/>
      <c r="H34" s="876"/>
      <c r="I34" s="876"/>
    </row>
    <row r="35" spans="1:9" s="885" customFormat="1" ht="19.5" customHeight="1">
      <c r="A35" s="3272" t="s">
        <v>186</v>
      </c>
      <c r="B35" s="880" t="s">
        <v>560</v>
      </c>
      <c r="C35" s="881" t="s">
        <v>592</v>
      </c>
      <c r="D35" s="882"/>
      <c r="E35" s="880">
        <v>1</v>
      </c>
      <c r="F35" s="883" t="s">
        <v>593</v>
      </c>
      <c r="G35" s="884"/>
      <c r="H35" s="876"/>
      <c r="I35" s="876"/>
    </row>
    <row r="36" spans="1:9" s="885" customFormat="1" ht="19.5" customHeight="1">
      <c r="A36" s="3272"/>
      <c r="B36" s="3272" t="s">
        <v>563</v>
      </c>
      <c r="C36" s="881" t="s">
        <v>594</v>
      </c>
      <c r="D36" s="882"/>
      <c r="E36" s="880">
        <v>1</v>
      </c>
      <c r="F36" s="883" t="s">
        <v>595</v>
      </c>
      <c r="G36" s="884"/>
      <c r="H36" s="876"/>
      <c r="I36" s="876"/>
    </row>
    <row r="37" spans="1:9" s="885" customFormat="1" ht="19.5" customHeight="1">
      <c r="A37" s="3272"/>
      <c r="B37" s="3272"/>
      <c r="C37" s="881" t="s">
        <v>596</v>
      </c>
      <c r="D37" s="882"/>
      <c r="E37" s="880">
        <v>1.5</v>
      </c>
      <c r="F37" s="883" t="s">
        <v>597</v>
      </c>
      <c r="G37" s="884"/>
      <c r="H37" s="876"/>
      <c r="I37" s="876"/>
    </row>
    <row r="38" spans="1:9" s="885" customFormat="1" ht="19.5" customHeight="1">
      <c r="A38" s="3272"/>
      <c r="B38" s="3272"/>
      <c r="C38" s="881" t="s">
        <v>598</v>
      </c>
      <c r="D38" s="882"/>
      <c r="E38" s="880">
        <v>1</v>
      </c>
      <c r="F38" s="883" t="s">
        <v>599</v>
      </c>
      <c r="G38" s="884"/>
      <c r="H38" s="876"/>
      <c r="I38" s="876"/>
    </row>
    <row r="39" spans="1:9" s="885" customFormat="1" ht="19.5" customHeight="1">
      <c r="A39" s="3272"/>
      <c r="B39" s="327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2" t="s">
        <v>614</v>
      </c>
      <c r="C61" s="816" t="s">
        <v>615</v>
      </c>
      <c r="D61" s="816" t="s">
        <v>616</v>
      </c>
      <c r="E61" s="893">
        <v>0.5</v>
      </c>
      <c r="F61" s="880">
        <v>80</v>
      </c>
    </row>
    <row r="62" spans="1:8" s="876" customFormat="1" ht="24">
      <c r="A62" s="880">
        <v>2</v>
      </c>
      <c r="B62" s="3272"/>
      <c r="C62" s="816" t="s">
        <v>617</v>
      </c>
      <c r="D62" s="816" t="s">
        <v>618</v>
      </c>
      <c r="E62" s="893">
        <v>0.5</v>
      </c>
      <c r="F62" s="880">
        <v>80</v>
      </c>
    </row>
    <row r="63" spans="1:8" s="876" customFormat="1" ht="36">
      <c r="A63" s="880">
        <v>3</v>
      </c>
      <c r="B63" s="3272"/>
      <c r="C63" s="816" t="s">
        <v>619</v>
      </c>
      <c r="D63" s="816" t="s">
        <v>620</v>
      </c>
      <c r="E63" s="893">
        <v>0.5</v>
      </c>
      <c r="F63" s="880">
        <v>80</v>
      </c>
    </row>
    <row r="64" spans="1:8" s="876" customFormat="1" ht="36">
      <c r="A64" s="880">
        <v>4</v>
      </c>
      <c r="B64" s="3272"/>
      <c r="C64" s="816" t="s">
        <v>621</v>
      </c>
      <c r="D64" s="816" t="s">
        <v>622</v>
      </c>
      <c r="E64" s="893">
        <v>0.4</v>
      </c>
      <c r="F64" s="880">
        <v>60</v>
      </c>
    </row>
    <row r="65" spans="1:6" s="876" customFormat="1" ht="36">
      <c r="A65" s="880">
        <v>5</v>
      </c>
      <c r="B65" s="3272"/>
      <c r="C65" s="816" t="s">
        <v>623</v>
      </c>
      <c r="D65" s="816" t="s">
        <v>624</v>
      </c>
      <c r="E65" s="893">
        <v>0.2</v>
      </c>
      <c r="F65" s="880">
        <v>30</v>
      </c>
    </row>
    <row r="66" spans="1:6" s="876" customFormat="1" ht="36">
      <c r="A66" s="880">
        <v>6</v>
      </c>
      <c r="B66" s="3272"/>
      <c r="C66" s="816" t="s">
        <v>625</v>
      </c>
      <c r="D66" s="816" t="s">
        <v>626</v>
      </c>
      <c r="E66" s="893">
        <v>0.3</v>
      </c>
      <c r="F66" s="880">
        <v>50</v>
      </c>
    </row>
    <row r="67" spans="1:6" s="876" customFormat="1" ht="36">
      <c r="A67" s="880">
        <v>7</v>
      </c>
      <c r="B67" s="3272"/>
      <c r="C67" s="816" t="s">
        <v>627</v>
      </c>
      <c r="D67" s="816" t="s">
        <v>628</v>
      </c>
      <c r="E67" s="893">
        <v>0.2</v>
      </c>
      <c r="F67" s="880">
        <v>30</v>
      </c>
    </row>
    <row r="68" spans="1:6" s="876" customFormat="1" ht="36">
      <c r="A68" s="880">
        <v>8</v>
      </c>
      <c r="B68" s="3272"/>
      <c r="C68" s="816" t="s">
        <v>629</v>
      </c>
      <c r="D68" s="816" t="s">
        <v>630</v>
      </c>
      <c r="E68" s="893">
        <v>0.2</v>
      </c>
      <c r="F68" s="880">
        <v>30</v>
      </c>
    </row>
    <row r="69" spans="1:6" s="876" customFormat="1" ht="36">
      <c r="A69" s="880">
        <v>9</v>
      </c>
      <c r="B69" s="3272"/>
      <c r="C69" s="816" t="s">
        <v>631</v>
      </c>
      <c r="D69" s="816" t="s">
        <v>632</v>
      </c>
      <c r="E69" s="893">
        <v>0.2</v>
      </c>
      <c r="F69" s="880">
        <v>30</v>
      </c>
    </row>
    <row r="70" spans="1:6" s="876" customFormat="1" ht="48">
      <c r="A70" s="880">
        <v>10</v>
      </c>
      <c r="B70" s="3272"/>
      <c r="C70" s="816" t="s">
        <v>633</v>
      </c>
      <c r="D70" s="816" t="s">
        <v>634</v>
      </c>
      <c r="E70" s="893">
        <v>0.2</v>
      </c>
      <c r="F70" s="880">
        <v>30</v>
      </c>
    </row>
    <row r="71" spans="1:6" s="876" customFormat="1" ht="48">
      <c r="A71" s="880">
        <v>11</v>
      </c>
      <c r="B71" s="3272"/>
      <c r="C71" s="816" t="s">
        <v>635</v>
      </c>
      <c r="D71" s="816" t="s">
        <v>636</v>
      </c>
      <c r="E71" s="893">
        <v>0.2</v>
      </c>
      <c r="F71" s="880">
        <v>30</v>
      </c>
    </row>
    <row r="72" spans="1:6" s="876" customFormat="1" ht="36">
      <c r="A72" s="880">
        <v>12</v>
      </c>
      <c r="B72" s="3272"/>
      <c r="C72" s="816" t="s">
        <v>637</v>
      </c>
      <c r="D72" s="816" t="s">
        <v>638</v>
      </c>
      <c r="E72" s="893">
        <v>0.5</v>
      </c>
      <c r="F72" s="880">
        <v>80</v>
      </c>
    </row>
    <row r="73" spans="1:6" s="876" customFormat="1" ht="24">
      <c r="A73" s="880">
        <v>13</v>
      </c>
      <c r="B73" s="3272"/>
      <c r="C73" s="816" t="s">
        <v>639</v>
      </c>
      <c r="D73" s="816" t="s">
        <v>640</v>
      </c>
      <c r="E73" s="893">
        <v>0.4</v>
      </c>
      <c r="F73" s="880">
        <v>60</v>
      </c>
    </row>
    <row r="74" spans="1:6" s="876" customFormat="1" ht="24">
      <c r="A74" s="880">
        <v>14</v>
      </c>
      <c r="B74" s="3272"/>
      <c r="C74" s="816" t="s">
        <v>641</v>
      </c>
      <c r="D74" s="816" t="s">
        <v>642</v>
      </c>
      <c r="E74" s="893">
        <v>0.2</v>
      </c>
      <c r="F74" s="880">
        <v>30</v>
      </c>
    </row>
    <row r="75" spans="1:6" s="876" customFormat="1" ht="24">
      <c r="A75" s="880">
        <v>15</v>
      </c>
      <c r="B75" s="3272"/>
      <c r="C75" s="816" t="s">
        <v>643</v>
      </c>
      <c r="D75" s="816" t="s">
        <v>644</v>
      </c>
      <c r="E75" s="893">
        <v>0.2</v>
      </c>
      <c r="F75" s="880">
        <v>30</v>
      </c>
    </row>
    <row r="76" spans="1:6" s="876" customFormat="1" ht="24">
      <c r="A76" s="880">
        <v>16</v>
      </c>
      <c r="B76" s="3272" t="s">
        <v>645</v>
      </c>
      <c r="C76" s="816" t="s">
        <v>646</v>
      </c>
      <c r="D76" s="816" t="s">
        <v>647</v>
      </c>
      <c r="E76" s="893">
        <v>0.5</v>
      </c>
      <c r="F76" s="880">
        <v>80</v>
      </c>
    </row>
    <row r="77" spans="1:6" s="876" customFormat="1" ht="24">
      <c r="A77" s="880">
        <v>17</v>
      </c>
      <c r="B77" s="3272"/>
      <c r="C77" s="816" t="s">
        <v>648</v>
      </c>
      <c r="D77" s="816" t="s">
        <v>649</v>
      </c>
      <c r="E77" s="893">
        <v>0.5</v>
      </c>
      <c r="F77" s="880">
        <v>80</v>
      </c>
    </row>
    <row r="78" spans="1:6" s="876" customFormat="1" ht="24">
      <c r="A78" s="880">
        <v>18</v>
      </c>
      <c r="B78" s="3272"/>
      <c r="C78" s="816" t="s">
        <v>650</v>
      </c>
      <c r="D78" s="816" t="s">
        <v>651</v>
      </c>
      <c r="E78" s="893">
        <v>0.2</v>
      </c>
      <c r="F78" s="880">
        <v>30</v>
      </c>
    </row>
    <row r="79" spans="1:6" s="876" customFormat="1" ht="24">
      <c r="A79" s="880">
        <v>19</v>
      </c>
      <c r="B79" s="3272"/>
      <c r="C79" s="816" t="s">
        <v>652</v>
      </c>
      <c r="D79" s="816" t="s">
        <v>653</v>
      </c>
      <c r="E79" s="893">
        <v>0.5</v>
      </c>
      <c r="F79" s="880">
        <v>80</v>
      </c>
    </row>
    <row r="80" spans="1:6" s="876" customFormat="1" ht="36">
      <c r="A80" s="880">
        <v>20</v>
      </c>
      <c r="B80" s="3272"/>
      <c r="C80" s="816" t="s">
        <v>654</v>
      </c>
      <c r="D80" s="816" t="s">
        <v>655</v>
      </c>
      <c r="E80" s="893">
        <v>0.2</v>
      </c>
      <c r="F80" s="880">
        <v>30</v>
      </c>
    </row>
    <row r="81" spans="1:6" s="876" customFormat="1" ht="36">
      <c r="A81" s="880">
        <v>21</v>
      </c>
      <c r="B81" s="3272"/>
      <c r="C81" s="816" t="s">
        <v>656</v>
      </c>
      <c r="D81" s="816" t="s">
        <v>657</v>
      </c>
      <c r="E81" s="893">
        <v>0.2</v>
      </c>
      <c r="F81" s="880">
        <v>30</v>
      </c>
    </row>
    <row r="82" spans="1:6" s="876" customFormat="1" ht="48">
      <c r="A82" s="880">
        <v>22</v>
      </c>
      <c r="B82" s="3272"/>
      <c r="C82" s="816" t="s">
        <v>658</v>
      </c>
      <c r="D82" s="816" t="s">
        <v>659</v>
      </c>
      <c r="E82" s="893">
        <v>0.2</v>
      </c>
      <c r="F82" s="880">
        <v>30</v>
      </c>
    </row>
    <row r="83" spans="1:6" s="876" customFormat="1" ht="48">
      <c r="A83" s="880">
        <v>23</v>
      </c>
      <c r="B83" s="3272"/>
      <c r="C83" s="816" t="s">
        <v>660</v>
      </c>
      <c r="D83" s="816" t="s">
        <v>661</v>
      </c>
      <c r="E83" s="893">
        <v>0.2</v>
      </c>
      <c r="F83" s="880">
        <v>30</v>
      </c>
    </row>
    <row r="84" spans="1:6" s="876" customFormat="1" ht="36">
      <c r="A84" s="880">
        <v>24</v>
      </c>
      <c r="B84" s="3272"/>
      <c r="C84" s="816" t="s">
        <v>662</v>
      </c>
      <c r="D84" s="816" t="s">
        <v>663</v>
      </c>
      <c r="E84" s="893">
        <v>0.2</v>
      </c>
      <c r="F84" s="880">
        <v>30</v>
      </c>
    </row>
    <row r="85" spans="1:6" s="876" customFormat="1" ht="36">
      <c r="A85" s="880">
        <v>25</v>
      </c>
      <c r="B85" s="3272"/>
      <c r="C85" s="816" t="s">
        <v>664</v>
      </c>
      <c r="D85" s="816" t="s">
        <v>665</v>
      </c>
      <c r="E85" s="893">
        <v>0.5</v>
      </c>
      <c r="F85" s="880">
        <v>80</v>
      </c>
    </row>
    <row r="86" spans="1:6" s="876" customFormat="1" ht="36">
      <c r="A86" s="880">
        <v>26</v>
      </c>
      <c r="B86" s="3272"/>
      <c r="C86" s="816" t="s">
        <v>666</v>
      </c>
      <c r="D86" s="816" t="s">
        <v>667</v>
      </c>
      <c r="E86" s="893">
        <v>0.2</v>
      </c>
      <c r="F86" s="880">
        <v>30</v>
      </c>
    </row>
    <row r="87" spans="1:6" s="876" customFormat="1" ht="36">
      <c r="A87" s="880">
        <v>27</v>
      </c>
      <c r="B87" s="3272"/>
      <c r="C87" s="816" t="s">
        <v>668</v>
      </c>
      <c r="D87" s="816" t="s">
        <v>669</v>
      </c>
      <c r="E87" s="893">
        <v>0.2</v>
      </c>
      <c r="F87" s="880">
        <v>30</v>
      </c>
    </row>
    <row r="88" spans="1:6" s="876" customFormat="1" ht="36">
      <c r="A88" s="880">
        <v>28</v>
      </c>
      <c r="B88" s="3272"/>
      <c r="C88" s="816" t="s">
        <v>670</v>
      </c>
      <c r="D88" s="816" t="s">
        <v>671</v>
      </c>
      <c r="E88" s="893">
        <v>0.2</v>
      </c>
      <c r="F88" s="880">
        <v>30</v>
      </c>
    </row>
    <row r="89" spans="1:6" s="876" customFormat="1" ht="24">
      <c r="A89" s="880">
        <v>29</v>
      </c>
      <c r="B89" s="3272"/>
      <c r="C89" s="816" t="s">
        <v>672</v>
      </c>
      <c r="D89" s="816" t="s">
        <v>673</v>
      </c>
      <c r="E89" s="893">
        <v>0.2</v>
      </c>
      <c r="F89" s="880">
        <v>30</v>
      </c>
    </row>
    <row r="90" spans="1:6" s="876" customFormat="1" ht="24">
      <c r="A90" s="880">
        <v>30</v>
      </c>
      <c r="B90" s="3272"/>
      <c r="C90" s="816" t="s">
        <v>674</v>
      </c>
      <c r="D90" s="816" t="s">
        <v>675</v>
      </c>
      <c r="E90" s="893">
        <v>0.2</v>
      </c>
      <c r="F90" s="880">
        <v>30</v>
      </c>
    </row>
    <row r="91" spans="1:6" s="876" customFormat="1" ht="36">
      <c r="A91" s="880">
        <v>31</v>
      </c>
      <c r="B91" s="3272"/>
      <c r="C91" s="816" t="s">
        <v>676</v>
      </c>
      <c r="D91" s="816" t="s">
        <v>677</v>
      </c>
      <c r="E91" s="893">
        <v>0.2</v>
      </c>
      <c r="F91" s="880">
        <v>30</v>
      </c>
    </row>
    <row r="92" spans="1:6" s="876" customFormat="1" ht="24">
      <c r="A92" s="880">
        <v>32</v>
      </c>
      <c r="B92" s="3272" t="s">
        <v>678</v>
      </c>
      <c r="C92" s="880" t="s">
        <v>679</v>
      </c>
      <c r="D92" s="816" t="s">
        <v>680</v>
      </c>
      <c r="E92" s="893">
        <v>0.2</v>
      </c>
      <c r="F92" s="880">
        <v>30</v>
      </c>
    </row>
    <row r="93" spans="1:6" s="876" customFormat="1" ht="36">
      <c r="A93" s="880">
        <v>33</v>
      </c>
      <c r="B93" s="3272"/>
      <c r="C93" s="880" t="s">
        <v>681</v>
      </c>
      <c r="D93" s="816" t="s">
        <v>682</v>
      </c>
      <c r="E93" s="893">
        <v>0.2</v>
      </c>
      <c r="F93" s="880">
        <v>30</v>
      </c>
    </row>
    <row r="94" spans="1:6" s="876" customFormat="1" ht="48">
      <c r="A94" s="880">
        <v>34</v>
      </c>
      <c r="B94" s="3272"/>
      <c r="C94" s="880" t="s">
        <v>683</v>
      </c>
      <c r="D94" s="816" t="s">
        <v>684</v>
      </c>
      <c r="E94" s="893">
        <v>0.2</v>
      </c>
      <c r="F94" s="880">
        <v>30</v>
      </c>
    </row>
    <row r="95" spans="1:6" s="876" customFormat="1" ht="36">
      <c r="A95" s="880">
        <v>35</v>
      </c>
      <c r="B95" s="3272"/>
      <c r="C95" s="880" t="s">
        <v>685</v>
      </c>
      <c r="D95" s="816" t="s">
        <v>686</v>
      </c>
      <c r="E95" s="893">
        <v>0.2</v>
      </c>
      <c r="F95" s="880">
        <v>30</v>
      </c>
    </row>
    <row r="96" spans="1:6" s="876" customFormat="1" ht="48">
      <c r="A96" s="880">
        <v>36</v>
      </c>
      <c r="B96" s="3272"/>
      <c r="C96" s="816" t="s">
        <v>687</v>
      </c>
      <c r="D96" s="816" t="s">
        <v>688</v>
      </c>
      <c r="E96" s="893">
        <v>0.2</v>
      </c>
      <c r="F96" s="880">
        <v>30</v>
      </c>
    </row>
    <row r="97" spans="1:6" s="876" customFormat="1" ht="36">
      <c r="A97" s="880">
        <v>37</v>
      </c>
      <c r="B97" s="3272"/>
      <c r="C97" s="880" t="s">
        <v>689</v>
      </c>
      <c r="D97" s="816" t="s">
        <v>690</v>
      </c>
      <c r="E97" s="893">
        <v>0.2</v>
      </c>
      <c r="F97" s="880">
        <v>30</v>
      </c>
    </row>
    <row r="98" spans="1:6" s="876" customFormat="1" ht="36">
      <c r="A98" s="880">
        <v>38</v>
      </c>
      <c r="B98" s="3272"/>
      <c r="C98" s="880" t="s">
        <v>691</v>
      </c>
      <c r="D98" s="816" t="s">
        <v>692</v>
      </c>
      <c r="E98" s="893">
        <v>0.2</v>
      </c>
      <c r="F98" s="880">
        <v>30</v>
      </c>
    </row>
    <row r="99" spans="1:6" s="876" customFormat="1" ht="36">
      <c r="A99" s="880">
        <v>39</v>
      </c>
      <c r="B99" s="3272" t="s">
        <v>693</v>
      </c>
      <c r="C99" s="880" t="s">
        <v>694</v>
      </c>
      <c r="D99" s="816" t="s">
        <v>695</v>
      </c>
      <c r="E99" s="893">
        <v>0.3</v>
      </c>
      <c r="F99" s="880">
        <v>50</v>
      </c>
    </row>
    <row r="100" spans="1:6" s="876" customFormat="1" ht="24">
      <c r="A100" s="880">
        <v>40</v>
      </c>
      <c r="B100" s="3272"/>
      <c r="C100" s="880" t="s">
        <v>696</v>
      </c>
      <c r="D100" s="816" t="s">
        <v>697</v>
      </c>
      <c r="E100" s="893">
        <v>0.2</v>
      </c>
      <c r="F100" s="880">
        <v>30</v>
      </c>
    </row>
    <row r="101" spans="1:6" s="876" customFormat="1" ht="36">
      <c r="A101" s="880">
        <v>41</v>
      </c>
      <c r="B101" s="327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2" t="s">
        <v>708</v>
      </c>
      <c r="C105" s="880" t="s">
        <v>709</v>
      </c>
      <c r="D105" s="816" t="s">
        <v>710</v>
      </c>
      <c r="E105" s="893">
        <v>0.2</v>
      </c>
      <c r="F105" s="880">
        <v>30</v>
      </c>
    </row>
    <row r="106" spans="1:6" s="876" customFormat="1" ht="36">
      <c r="A106" s="880">
        <v>46</v>
      </c>
      <c r="B106" s="3272"/>
      <c r="C106" s="880" t="s">
        <v>711</v>
      </c>
      <c r="D106" s="816" t="s">
        <v>712</v>
      </c>
      <c r="E106" s="893">
        <v>0.2</v>
      </c>
      <c r="F106" s="880">
        <v>30</v>
      </c>
    </row>
    <row r="107" spans="1:6" s="876" customFormat="1" ht="36">
      <c r="A107" s="880">
        <v>47</v>
      </c>
      <c r="B107" s="3272" t="s">
        <v>713</v>
      </c>
      <c r="C107" s="880" t="s">
        <v>714</v>
      </c>
      <c r="D107" s="816" t="s">
        <v>715</v>
      </c>
      <c r="E107" s="893">
        <v>0.3</v>
      </c>
      <c r="F107" s="880">
        <v>50</v>
      </c>
    </row>
    <row r="108" spans="1:6" s="876" customFormat="1" ht="36">
      <c r="A108" s="880">
        <v>48</v>
      </c>
      <c r="B108" s="327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2" t="s">
        <v>724</v>
      </c>
      <c r="C111" s="880" t="s">
        <v>725</v>
      </c>
      <c r="D111" s="816" t="s">
        <v>726</v>
      </c>
      <c r="E111" s="893">
        <v>0.2</v>
      </c>
      <c r="F111" s="880">
        <v>30</v>
      </c>
    </row>
    <row r="112" spans="1:6" s="876" customFormat="1" ht="24">
      <c r="A112" s="880">
        <v>52</v>
      </c>
      <c r="B112" s="3272"/>
      <c r="C112" s="880" t="s">
        <v>727</v>
      </c>
      <c r="D112" s="816" t="s">
        <v>728</v>
      </c>
      <c r="E112" s="893">
        <v>0.2</v>
      </c>
      <c r="F112" s="880">
        <v>30</v>
      </c>
    </row>
    <row r="113" spans="1:6" s="876" customFormat="1" ht="24">
      <c r="A113" s="880">
        <v>53</v>
      </c>
      <c r="B113" s="327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2" t="s">
        <v>737</v>
      </c>
      <c r="C116" s="880" t="s">
        <v>738</v>
      </c>
      <c r="D116" s="816" t="s">
        <v>739</v>
      </c>
      <c r="E116" s="893">
        <v>0.2</v>
      </c>
      <c r="F116" s="880">
        <v>30</v>
      </c>
    </row>
    <row r="117" spans="1:6" ht="36">
      <c r="A117" s="880">
        <v>57</v>
      </c>
      <c r="B117" s="327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3003</v>
      </c>
    </row>
    <row r="2" spans="1:5" ht="15.75">
      <c r="A2" s="2904" t="s">
        <v>2995</v>
      </c>
      <c r="B2" s="2905" t="e">
        <f ca="1">SUMIF(B6:B13,"&lt;&gt;#ref!",B6:B13)</f>
        <v>#VALUE!</v>
      </c>
      <c r="C2" s="2904" t="s">
        <v>2996</v>
      </c>
      <c r="D2" s="2904" t="s">
        <v>2997</v>
      </c>
      <c r="E2" s="2905">
        <f ca="1">SUMIF(E6:E13,"&lt;&gt;#ref!",E6:E13)</f>
        <v>0</v>
      </c>
    </row>
    <row r="3" spans="1:5" ht="15.75">
      <c r="A3" s="2904" t="s">
        <v>2998</v>
      </c>
      <c r="B3" s="2905" t="e">
        <f ca="1">ROUND(B2*10000/E2,0)</f>
        <v>#VALUE!</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#VALUE!</v>
      </c>
      <c r="C6" s="2904" t="s">
        <v>2996</v>
      </c>
      <c r="D6" s="2906"/>
      <c r="E6" s="2577">
        <f ca="1">SUMIF(INDIRECT("'"&amp;A6&amp;"'"&amp;"!C:C"),"建筑面积",INDIRECT("'"&amp;A6&amp;"'"&amp;"!D:D"))</f>
        <v>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8" t="s">
        <v>1146</v>
      </c>
      <c r="C1" s="3278"/>
      <c r="D1" s="3278"/>
      <c r="E1" s="3278"/>
      <c r="F1" s="3278"/>
      <c r="G1" s="3274" t="s">
        <v>1147</v>
      </c>
      <c r="H1" s="3274"/>
      <c r="I1" s="3274"/>
      <c r="J1" s="3274"/>
      <c r="K1" s="3274"/>
      <c r="L1" s="3274"/>
      <c r="N1" s="3274" t="s">
        <v>1148</v>
      </c>
      <c r="O1" s="3274"/>
      <c r="P1" s="3274"/>
      <c r="Q1" s="3274"/>
      <c r="R1" s="1444"/>
      <c r="S1" s="3274" t="s">
        <v>1149</v>
      </c>
      <c r="T1" s="3274"/>
      <c r="U1" s="3274"/>
      <c r="V1" s="3274"/>
      <c r="X1" s="3273" t="s">
        <v>1150</v>
      </c>
      <c r="Y1" s="3274"/>
      <c r="Z1" s="3274"/>
      <c r="AA1" s="3274"/>
      <c r="AB1" s="3274"/>
      <c r="AD1" s="3273" t="s">
        <v>1151</v>
      </c>
      <c r="AE1" s="3274"/>
      <c r="AF1" s="3274"/>
      <c r="AG1" s="3274"/>
      <c r="AH1" s="327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0" customFormat="1" ht="14.25">
      <c r="A3" s="2929" t="s">
        <v>3035</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3052</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9">
        <v>2019</v>
      </c>
      <c r="H5" s="1728">
        <v>3</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3036</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3051</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9">
        <v>2019</v>
      </c>
      <c r="H6" s="1460">
        <v>2</v>
      </c>
      <c r="I6" s="1460">
        <v>1.53</v>
      </c>
      <c r="J6" s="1460">
        <v>1.01</v>
      </c>
      <c r="K6" s="1460">
        <v>1.62</v>
      </c>
      <c r="L6" s="1461">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3048</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3">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3053</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7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3042</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3041</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3034</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3"/>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3031</v>
      </c>
      <c r="B12" s="1467">
        <v>439</v>
      </c>
      <c r="C12" s="1467">
        <v>327</v>
      </c>
      <c r="D12" s="1467">
        <f>C12</f>
        <v>327</v>
      </c>
      <c r="E12" s="1467">
        <v>627</v>
      </c>
      <c r="F12" s="1468">
        <v>283</v>
      </c>
      <c r="G12" s="3279">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3032</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3"/>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279">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280">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1"/>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1"/>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2"/>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B31" sqref="B31"/>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E41" sqref="E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v>2301</v>
      </c>
      <c r="D1" s="1818" t="s">
        <v>70</v>
      </c>
      <c r="E1" s="1819" t="s">
        <v>1382</v>
      </c>
      <c r="F1" s="1281">
        <f ca="1">J53</f>
        <v>27.13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f ca="1">ROUND(D2/10000,0)</f>
        <v>286</v>
      </c>
      <c r="C2" s="1843" t="s">
        <v>1586</v>
      </c>
      <c r="D2" s="1936">
        <f ca="1">C40+J29+L46</f>
        <v>2864394</v>
      </c>
      <c r="E2" s="1844" t="s">
        <v>1587</v>
      </c>
      <c r="F2" s="1845"/>
      <c r="G2" s="1846"/>
      <c r="H2" s="1838"/>
      <c r="I2" s="1838"/>
      <c r="J2" s="1838"/>
      <c r="K2" s="1839"/>
      <c r="L2" s="1838"/>
      <c r="M2" s="1838"/>
    </row>
    <row r="3" spans="1:37" ht="18" customHeight="1" thickBot="1">
      <c r="A3" s="1847" t="s">
        <v>1588</v>
      </c>
      <c r="B3" s="1848">
        <f ca="1">IF(ISERROR(D2/F43),0,ROUND(D2/F43,0))</f>
        <v>9667</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194682</v>
      </c>
      <c r="D5" s="1820" t="s">
        <v>1596</v>
      </c>
      <c r="E5" s="1291"/>
      <c r="F5" s="1292"/>
      <c r="G5" s="1849"/>
      <c r="H5" s="343">
        <v>1</v>
      </c>
      <c r="I5" s="344" t="s">
        <v>1595</v>
      </c>
      <c r="J5" s="1290">
        <f ca="1">J6+J10+J12</f>
        <v>0</v>
      </c>
      <c r="K5" s="1820" t="s">
        <v>1596</v>
      </c>
      <c r="L5" s="1291"/>
      <c r="M5" s="1292"/>
    </row>
    <row r="6" spans="1:37" ht="18" customHeight="1">
      <c r="A6" s="1289" t="s">
        <v>1032</v>
      </c>
      <c r="B6" s="3176" t="s">
        <v>1398</v>
      </c>
      <c r="C6" s="1294">
        <f ca="1">ROUND(F6*F8*F7*(1-F9),0)</f>
        <v>194682</v>
      </c>
      <c r="D6" s="163" t="s">
        <v>3026</v>
      </c>
      <c r="E6" s="346" t="s">
        <v>1400</v>
      </c>
      <c r="F6" s="347">
        <f ca="1">INDIRECT("'数据-取费表'!u"&amp;$G$1)</f>
        <v>2</v>
      </c>
      <c r="G6" s="1849"/>
      <c r="H6" s="1289" t="s">
        <v>1032</v>
      </c>
      <c r="I6" s="3176" t="s">
        <v>1398</v>
      </c>
      <c r="J6" s="345">
        <f ca="1">ROUND(M6*M8*M7*(1-M9),0)</f>
        <v>0</v>
      </c>
      <c r="K6" s="1832" t="s">
        <v>3027</v>
      </c>
      <c r="L6" s="346" t="s">
        <v>1400</v>
      </c>
      <c r="M6" s="347">
        <f ca="1">INDIRECT("'数据-取费表'!z"&amp;$G$1)</f>
        <v>0</v>
      </c>
    </row>
    <row r="7" spans="1:37" ht="18" customHeight="1">
      <c r="A7" s="1293"/>
      <c r="B7" s="3177"/>
      <c r="C7" s="1295"/>
      <c r="D7" s="351"/>
      <c r="E7" s="1296" t="s">
        <v>1401</v>
      </c>
      <c r="F7" s="347">
        <f ca="1">IF(INDIRECT("'数据-取费表'!ah"&amp;$G$1)="",INDIRECT("'数据-取费表'!k"&amp;$G$1),INDIRECT("'数据-取费表'!ah"&amp;$G$1))</f>
        <v>296.32</v>
      </c>
      <c r="G7" s="1849"/>
      <c r="H7" s="348"/>
      <c r="I7" s="3177"/>
      <c r="J7" s="350"/>
      <c r="K7" s="351"/>
      <c r="L7" s="346" t="s">
        <v>1401</v>
      </c>
      <c r="M7" s="347">
        <f ca="1">F7</f>
        <v>296.32</v>
      </c>
    </row>
    <row r="8" spans="1:37" ht="18" customHeight="1">
      <c r="A8" s="348"/>
      <c r="B8" s="3177"/>
      <c r="C8" s="350"/>
      <c r="D8" s="351"/>
      <c r="E8" s="346" t="s">
        <v>1402</v>
      </c>
      <c r="F8" s="347">
        <f ca="1">INDIRECT("'数据-取费表'!ai"&amp;$G$1)</f>
        <v>365</v>
      </c>
      <c r="G8" s="1849"/>
      <c r="H8" s="348"/>
      <c r="I8" s="3177"/>
      <c r="J8" s="350"/>
      <c r="K8" s="351"/>
      <c r="L8" s="346" t="s">
        <v>1402</v>
      </c>
      <c r="M8" s="347">
        <f ca="1">INDIRECT("'数据-取费表'!ai"&amp;$G$1)</f>
        <v>365</v>
      </c>
    </row>
    <row r="9" spans="1:37" ht="18" customHeight="1">
      <c r="A9" s="348"/>
      <c r="B9" s="3178"/>
      <c r="C9" s="350"/>
      <c r="D9" s="351"/>
      <c r="E9" s="346" t="s">
        <v>1403</v>
      </c>
      <c r="F9" s="356">
        <f ca="1">INDIRECT("'数据-取费表'!w"&amp;$G$1)</f>
        <v>0.1</v>
      </c>
      <c r="G9" s="1849"/>
      <c r="H9" s="348"/>
      <c r="I9" s="3178"/>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1121436</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829696</v>
      </c>
      <c r="D14" s="1798" t="s">
        <v>1413</v>
      </c>
      <c r="E14" s="1792"/>
      <c r="F14" s="363"/>
      <c r="G14" s="1849"/>
      <c r="H14" s="1199" t="s">
        <v>1032</v>
      </c>
      <c r="I14" s="346" t="s">
        <v>1414</v>
      </c>
      <c r="J14" s="23">
        <f ca="1">C29</f>
        <v>1274359</v>
      </c>
      <c r="K14" s="14"/>
      <c r="L14" s="977"/>
      <c r="M14" s="978"/>
    </row>
    <row r="15" spans="1:37" s="1856" customFormat="1" ht="18" customHeight="1" thickBot="1">
      <c r="A15" s="1199" t="s">
        <v>1033</v>
      </c>
      <c r="B15" s="346" t="s">
        <v>1415</v>
      </c>
      <c r="C15" s="23">
        <f ca="1">ROUND(C14*F15,0)</f>
        <v>41485</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19115</v>
      </c>
      <c r="K16" s="1335" t="s">
        <v>1420</v>
      </c>
      <c r="L16" s="1336"/>
      <c r="M16" s="1292"/>
    </row>
    <row r="17" spans="1:37" s="1856" customFormat="1" ht="18" customHeight="1">
      <c r="A17" s="1199" t="s">
        <v>1385</v>
      </c>
      <c r="B17" s="346" t="s">
        <v>1421</v>
      </c>
      <c r="C17" s="23">
        <f ca="1">ROUND(F17*(F43+INDIRECT("'数据-取费表'!S"&amp;$G$1)),0)</f>
        <v>59264</v>
      </c>
      <c r="D17" s="346" t="s">
        <v>1422</v>
      </c>
      <c r="E17" s="346" t="s">
        <v>1423</v>
      </c>
      <c r="F17" s="25">
        <f>'数据-取费表'!B35</f>
        <v>200</v>
      </c>
      <c r="G17" s="1852"/>
      <c r="H17" s="1199" t="s">
        <v>1032</v>
      </c>
      <c r="I17" s="346" t="s">
        <v>1424</v>
      </c>
      <c r="J17" s="23">
        <f ca="1">ROUND(IF(项目基本情况!B11="自然人",J5*M17,J18+J19+J20),0)</f>
        <v>0</v>
      </c>
      <c r="K17" s="1798" t="s">
        <v>1425</v>
      </c>
      <c r="L17" s="1796" t="s">
        <v>1426</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12445</v>
      </c>
      <c r="D18" s="346" t="s">
        <v>1416</v>
      </c>
      <c r="E18" s="346" t="s">
        <v>1417</v>
      </c>
      <c r="F18" s="366">
        <f>'数据-取费表'!B36</f>
        <v>1.4999999999999999E-2</v>
      </c>
      <c r="G18" s="1852"/>
      <c r="H18" s="1199" t="s">
        <v>1031</v>
      </c>
      <c r="I18" s="346" t="s">
        <v>1428</v>
      </c>
      <c r="J18" s="23">
        <f ca="1">ROUND(J5*M18/(1+'数据-取费表'!C42),0)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942890</v>
      </c>
      <c r="D19" s="139" t="s">
        <v>1431</v>
      </c>
      <c r="E19" s="1816"/>
      <c r="F19" s="25"/>
      <c r="G19" s="1849"/>
      <c r="H19" s="1199" t="s">
        <v>1033</v>
      </c>
      <c r="I19" s="346" t="s">
        <v>1432</v>
      </c>
      <c r="J19" s="23">
        <f ca="1">IF(K19="按租金收入计税",ROUND(J5*M19,0),ROUND(C29*M19*0.7,0))</f>
        <v>10705</v>
      </c>
      <c r="K19" s="1826" t="s">
        <v>1433</v>
      </c>
      <c r="L19" s="346" t="s">
        <v>1417</v>
      </c>
      <c r="M19" s="366">
        <f>IF(K19="按租金收入计税",'数据-取费表'!B51,'数据-取费表'!B50)</f>
        <v>1.2E-2</v>
      </c>
    </row>
    <row r="20" spans="1:37" s="1856" customFormat="1" ht="18" customHeight="1">
      <c r="A20" s="1199" t="s">
        <v>1036</v>
      </c>
      <c r="B20" s="346" t="s">
        <v>1434</v>
      </c>
      <c r="C20" s="23">
        <f ca="1">ROUND(C19*F20,0)</f>
        <v>18858</v>
      </c>
      <c r="D20" s="368" t="s">
        <v>1435</v>
      </c>
      <c r="E20" s="346" t="s">
        <v>1417</v>
      </c>
      <c r="F20" s="366">
        <f>'数据-取费表'!B37</f>
        <v>0.02</v>
      </c>
      <c r="G20" s="1852"/>
      <c r="H20" s="1199" t="s">
        <v>1384</v>
      </c>
      <c r="I20" s="163" t="s">
        <v>1436</v>
      </c>
      <c r="J20" s="24">
        <f ca="1">ROUND(M20*M21,0)</f>
        <v>153</v>
      </c>
      <c r="K20" s="369" t="s">
        <v>1437</v>
      </c>
      <c r="L20" s="346" t="s">
        <v>1438</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12.79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19115</v>
      </c>
      <c r="K22" s="1796"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69331</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ROUND(J13*M23,0)</f>
        <v>0</v>
      </c>
      <c r="K23" s="1796"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-19115</v>
      </c>
      <c r="K25" s="1343" t="s">
        <v>1459</v>
      </c>
      <c r="L25" s="1344"/>
      <c r="M25" s="1345"/>
    </row>
    <row r="26" spans="1:37" ht="18" customHeight="1">
      <c r="A26" s="1199" t="s">
        <v>1031</v>
      </c>
      <c r="B26" s="346" t="s">
        <v>1460</v>
      </c>
      <c r="C26" s="23">
        <f ca="1">ROUND((C19+C20)*F26,0)</f>
        <v>144262</v>
      </c>
      <c r="D26" s="368" t="s">
        <v>1461</v>
      </c>
      <c r="E26" s="357" t="s">
        <v>1462</v>
      </c>
      <c r="F26" s="356">
        <f ca="1">INDIRECT("'数据-取费表'!q"&amp;$G$1)</f>
        <v>0.15</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3.0000000000000001E-3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1274359</v>
      </c>
      <c r="D29" s="1340"/>
      <c r="E29" s="1338"/>
      <c r="F29" s="1341"/>
      <c r="G29" s="1852"/>
      <c r="H29" s="379" t="s">
        <v>1030</v>
      </c>
      <c r="I29" s="380" t="s">
        <v>1474</v>
      </c>
      <c r="J29" s="381">
        <f ca="1">ROUND(J26/(1+F40)^F41,0)</f>
        <v>0</v>
      </c>
      <c r="K29" s="382" t="s">
        <v>1475</v>
      </c>
      <c r="L29" s="383"/>
      <c r="M29" s="384">
        <f ca="1">INDIRECT("'数据-取费表'!k"&amp;$G$1)</f>
        <v>296.32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36372</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ROUND(IF(项目基本情况!B11="自然人",C5*F31,C32+C33+C34),0)</f>
        <v>13628</v>
      </c>
      <c r="D31" s="1798" t="s">
        <v>1425</v>
      </c>
      <c r="E31" s="1796" t="s">
        <v>1476</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1428</v>
      </c>
      <c r="C32" s="23" t="str">
        <f>IF(项目基本情况!B11="自然人","——",ROUND(C5*F32/(1+'数据-取费表'!C42),0))</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3080</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12</v>
      </c>
      <c r="G34" s="1849"/>
      <c r="H34" s="743"/>
      <c r="I34" s="1858"/>
      <c r="J34" s="1859"/>
      <c r="K34" s="1861"/>
      <c r="L34" s="1862"/>
      <c r="M34" s="1862"/>
    </row>
    <row r="35" spans="1:18" ht="18" customHeight="1">
      <c r="A35" s="1351"/>
      <c r="B35" s="1349"/>
      <c r="C35" s="28"/>
      <c r="D35" s="372"/>
      <c r="E35" s="346" t="s">
        <v>1442</v>
      </c>
      <c r="F35" s="347">
        <f ca="1">INDIRECT("'数据-取费表'!r"&amp;$G$1)</f>
        <v>12.79</v>
      </c>
      <c r="G35" s="1849"/>
      <c r="H35" s="743"/>
      <c r="I35" s="1858"/>
      <c r="J35" s="1859"/>
      <c r="K35" s="1860"/>
      <c r="L35" s="1857"/>
      <c r="M35" s="1857"/>
    </row>
    <row r="36" spans="1:18" ht="18" customHeight="1">
      <c r="A36" s="1350" t="s">
        <v>1036</v>
      </c>
      <c r="B36" s="346" t="s">
        <v>1444</v>
      </c>
      <c r="C36" s="23">
        <f ca="1">ROUND(C29*F36,0)</f>
        <v>19115</v>
      </c>
      <c r="D36" s="1796"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ROUND(C13*F37,0)</f>
        <v>1682</v>
      </c>
      <c r="D37" s="1796"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1946.8</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4">
        <f ca="1">C5-C30</f>
        <v>158310</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2864394</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27.13</v>
      </c>
      <c r="G41" s="1849"/>
      <c r="H41" s="730"/>
      <c r="I41" s="1858"/>
      <c r="J41" s="1859"/>
      <c r="K41" s="749"/>
      <c r="L41" s="730"/>
      <c r="M41" s="730"/>
    </row>
    <row r="42" spans="1:18" ht="18" customHeight="1">
      <c r="A42" s="352"/>
      <c r="B42" s="353"/>
      <c r="C42" s="354"/>
      <c r="D42" s="372"/>
      <c r="E42" s="346" t="s">
        <v>1472</v>
      </c>
      <c r="F42" s="356">
        <f ca="1">INDIRECT("'数据-取费表'!v"&amp;$G$1)</f>
        <v>2.5000000000000001E-2</v>
      </c>
      <c r="G42" s="1849"/>
      <c r="H42" s="730"/>
      <c r="I42" s="1858"/>
      <c r="J42" s="1859"/>
      <c r="K42" s="749"/>
      <c r="L42" s="730"/>
      <c r="M42" s="730"/>
    </row>
    <row r="43" spans="1:18" ht="18" customHeight="1" thickBot="1">
      <c r="A43" s="379" t="s">
        <v>1030</v>
      </c>
      <c r="B43" s="380" t="s">
        <v>1482</v>
      </c>
      <c r="C43" s="381">
        <f ca="1">ROUND(C40/F43,0)</f>
        <v>9667</v>
      </c>
      <c r="D43" s="382" t="s">
        <v>1483</v>
      </c>
      <c r="E43" s="383" t="s">
        <v>1484</v>
      </c>
      <c r="F43" s="384">
        <f ca="1">INDIRECT("'数据-取费表'!k"&amp;$G$1)</f>
        <v>296.32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-3240686</v>
      </c>
      <c r="D45" s="1938" t="s">
        <v>1599</v>
      </c>
      <c r="E45" s="1864"/>
      <c r="F45" s="1864"/>
      <c r="O45" s="1867" t="s">
        <v>1514</v>
      </c>
      <c r="P45" s="1837"/>
      <c r="Q45" s="1837"/>
      <c r="R45" s="1837"/>
    </row>
    <row r="46" spans="1:18" s="1840" customFormat="1" ht="13.5" thickBot="1">
      <c r="A46" s="1868" t="s">
        <v>1515</v>
      </c>
      <c r="C46" s="1869">
        <f ca="1">ROUND(C45/10000,0)</f>
        <v>-324</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3081</v>
      </c>
      <c r="K47" s="1880" t="s">
        <v>1522</v>
      </c>
      <c r="L47" s="1881">
        <f ca="1">INDIRECT("'数据-取费表'!d"&amp;$G$1)</f>
        <v>40</v>
      </c>
      <c r="M47" s="1836" t="str">
        <f>IF(ISNUMBER(FIND("住宅",C1)),"住宅","非住宅")</f>
        <v>非住宅</v>
      </c>
      <c r="O47" s="1882" t="s">
        <v>1037</v>
      </c>
      <c r="P47" s="1883" t="s">
        <v>1523</v>
      </c>
      <c r="Q47" s="1884">
        <f ca="1">C40+J29</f>
        <v>2864394</v>
      </c>
      <c r="R47" s="1884" t="s">
        <v>1524</v>
      </c>
    </row>
    <row r="48" spans="1:18" s="1840" customFormat="1" ht="28.5" thickBot="1">
      <c r="A48" s="1358" t="s">
        <v>1132</v>
      </c>
      <c r="B48" s="344" t="s">
        <v>1396</v>
      </c>
      <c r="C48" s="1815">
        <f ca="1">C49+C53+C55</f>
        <v>0</v>
      </c>
      <c r="D48" s="1360"/>
      <c r="E48" s="1361"/>
      <c r="F48" s="1179"/>
      <c r="G48" s="790"/>
      <c r="H48" s="791"/>
      <c r="I48" s="1885" t="s">
        <v>1525</v>
      </c>
      <c r="J48" s="1886" t="s">
        <v>3082</v>
      </c>
      <c r="K48" s="1887" t="s">
        <v>1526</v>
      </c>
      <c r="L48" s="1888">
        <f ca="1">INDIRECT("'数据-取费表'!f"&amp;$G$1)</f>
        <v>27.13</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v>2003</v>
      </c>
      <c r="K49" s="1887" t="s">
        <v>1530</v>
      </c>
      <c r="L49" s="1891"/>
      <c r="O49" s="1892" t="s">
        <v>1039</v>
      </c>
      <c r="P49" s="1883" t="s">
        <v>1531</v>
      </c>
      <c r="Q49" s="1884">
        <f ca="1">C29</f>
        <v>1274359</v>
      </c>
      <c r="R49" s="1884" t="s">
        <v>1524</v>
      </c>
    </row>
    <row r="50" spans="1:18" s="1840" customFormat="1" ht="13.5" thickBot="1">
      <c r="A50" s="1193"/>
      <c r="B50" s="1196"/>
      <c r="C50" s="1197"/>
      <c r="D50" s="1170"/>
      <c r="E50" s="1275" t="s">
        <v>1401</v>
      </c>
      <c r="F50" s="1276">
        <f ca="1">F7</f>
        <v>296.32</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44</v>
      </c>
      <c r="K51" s="1898" t="s">
        <v>1536</v>
      </c>
      <c r="L51" s="1899">
        <f ca="1">ROUND(-PV(INDIRECT("'数据-取费表'!h"&amp;$G$1),L48,(C39-C13*C76),0),0)</f>
        <v>1006764</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27.13</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27.13</v>
      </c>
      <c r="K53" s="3174" t="s">
        <v>1543</v>
      </c>
      <c r="L53" s="3175"/>
      <c r="O53" s="1882" t="s">
        <v>1043</v>
      </c>
      <c r="P53" s="1883" t="s">
        <v>1544</v>
      </c>
      <c r="Q53" s="1884">
        <f ca="1">Q47+Q48</f>
        <v>2864394</v>
      </c>
      <c r="R53" s="1884" t="s">
        <v>1044</v>
      </c>
    </row>
    <row r="54" spans="1:18" s="1840" customFormat="1" ht="13.5" thickBot="1">
      <c r="A54" s="1192"/>
      <c r="B54" s="1939" t="s">
        <v>1598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4">
        <v>2</v>
      </c>
      <c r="B56" s="1175" t="s">
        <v>1409</v>
      </c>
      <c r="C56" s="275">
        <f ca="1">C13</f>
        <v>1121436</v>
      </c>
      <c r="D56" s="1912"/>
      <c r="E56" s="1913"/>
      <c r="F56" s="1905"/>
      <c r="I56" s="1914" t="s">
        <v>1549</v>
      </c>
      <c r="J56" s="1915" t="s">
        <v>3056</v>
      </c>
      <c r="K56" s="1885" t="s">
        <v>1550</v>
      </c>
      <c r="L56" s="1888" t="str">
        <f ca="1">IF(L48&lt;J51,"——",L48-J51)</f>
        <v>——</v>
      </c>
      <c r="O56" s="1882" t="s">
        <v>1037</v>
      </c>
      <c r="P56" s="1883" t="s">
        <v>1523</v>
      </c>
      <c r="Q56" s="1884">
        <f ca="1">C40+J29</f>
        <v>2864394</v>
      </c>
      <c r="R56" s="1884" t="s">
        <v>1524</v>
      </c>
    </row>
    <row r="57" spans="1:18" s="1840" customFormat="1" ht="24.75" thickBot="1">
      <c r="A57" s="1916"/>
      <c r="B57" s="1167" t="s">
        <v>1473</v>
      </c>
      <c r="C57" s="281">
        <f ca="1">C29</f>
        <v>1274359</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59" t="s">
        <v>1027</v>
      </c>
      <c r="B58" s="1175" t="s">
        <v>1419</v>
      </c>
      <c r="C58" s="360">
        <f ca="1">ROUND(C59+C64+C65+C66,0)</f>
        <v>20797</v>
      </c>
      <c r="D58" s="1177" t="s">
        <v>1420</v>
      </c>
      <c r="E58" s="1178"/>
      <c r="F58" s="1179"/>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12</v>
      </c>
      <c r="I62" s="1927" t="s">
        <v>1565</v>
      </c>
      <c r="J62" s="1928" t="s">
        <v>1566</v>
      </c>
      <c r="K62" s="1928" t="s">
        <v>1567</v>
      </c>
      <c r="L62" s="1928" t="s">
        <v>1568</v>
      </c>
      <c r="M62" s="1929" t="s">
        <v>1569</v>
      </c>
      <c r="O62" s="1882" t="s">
        <v>1043</v>
      </c>
      <c r="P62" s="1883" t="s">
        <v>1570</v>
      </c>
      <c r="Q62" s="1884">
        <f ca="1">Q56+Q57</f>
        <v>2864394</v>
      </c>
      <c r="R62" s="1884" t="s">
        <v>1044</v>
      </c>
    </row>
    <row r="63" spans="1:18" s="1840" customFormat="1" ht="13.5" thickBot="1">
      <c r="A63" s="371"/>
      <c r="B63" s="1173"/>
      <c r="C63" s="28"/>
      <c r="D63" s="1183"/>
      <c r="E63" s="1167" t="s">
        <v>1494</v>
      </c>
      <c r="F63" s="347">
        <f t="shared" ca="1" si="0"/>
        <v>12.79</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ROUND(C57*F64,0)</f>
        <v>19115</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ROUND(C56*F65,0)</f>
        <v>1682</v>
      </c>
      <c r="D65" s="1181" t="s">
        <v>1449</v>
      </c>
      <c r="E65" s="1167" t="s">
        <v>1450</v>
      </c>
      <c r="F65" s="375">
        <f t="shared" ca="1" si="0"/>
        <v>1.5E-3</v>
      </c>
      <c r="I65" s="1927" t="s">
        <v>1574</v>
      </c>
      <c r="J65" s="1928">
        <v>40</v>
      </c>
      <c r="K65" s="1928">
        <v>30</v>
      </c>
      <c r="L65" s="1928">
        <v>50</v>
      </c>
      <c r="M65" s="1930">
        <v>0.02</v>
      </c>
      <c r="O65" s="1882" t="s">
        <v>1037</v>
      </c>
      <c r="P65" s="1883" t="s">
        <v>1575</v>
      </c>
      <c r="Q65" s="1884">
        <f ca="1">C40+J29</f>
        <v>2864394</v>
      </c>
      <c r="R65" s="1884" t="s">
        <v>1524</v>
      </c>
    </row>
    <row r="66" spans="1:18" s="1840" customFormat="1" ht="16.5" thickBot="1">
      <c r="A66" s="1199" t="s">
        <v>1499</v>
      </c>
      <c r="B66" s="1167" t="s">
        <v>1434</v>
      </c>
      <c r="C66" s="23">
        <f ca="1">ROUND(C48*F66,0)</f>
        <v>0</v>
      </c>
      <c r="D66" s="1181" t="s">
        <v>1500</v>
      </c>
      <c r="E66" s="1167" t="s">
        <v>1417</v>
      </c>
      <c r="F66" s="356">
        <f t="shared" ca="1" si="0"/>
        <v>0.01</v>
      </c>
      <c r="O66" s="1882" t="s">
        <v>1038</v>
      </c>
      <c r="P66" s="1883" t="s">
        <v>1553</v>
      </c>
      <c r="Q66" s="1884">
        <f ca="1">L60</f>
        <v>0</v>
      </c>
      <c r="R66" s="1884" t="s">
        <v>1576</v>
      </c>
    </row>
    <row r="67" spans="1:18" s="1840" customFormat="1" ht="16.5" thickBot="1">
      <c r="A67" s="1174" t="s">
        <v>1028</v>
      </c>
      <c r="B67" s="1184" t="s">
        <v>1458</v>
      </c>
      <c r="C67" s="360">
        <f ca="1">C48-C58</f>
        <v>-20797</v>
      </c>
      <c r="D67" s="1180" t="s">
        <v>1459</v>
      </c>
      <c r="E67" s="1185"/>
      <c r="F67" s="1186"/>
      <c r="O67" s="1892" t="s">
        <v>1039</v>
      </c>
      <c r="P67" s="1883" t="s">
        <v>1557</v>
      </c>
      <c r="Q67" s="1931">
        <f ca="1">L51</f>
        <v>1006764</v>
      </c>
      <c r="R67" s="1884" t="s">
        <v>1577</v>
      </c>
    </row>
    <row r="68" spans="1:18" s="1840" customFormat="1" ht="16.5" thickBot="1">
      <c r="A68" s="1164" t="s">
        <v>1029</v>
      </c>
      <c r="B68" s="1165" t="s">
        <v>1480</v>
      </c>
      <c r="C68" s="345">
        <f ca="1">ROUND(C67*(1-((1+F70)/(1+F68))^F69)/(F68-F70),0)</f>
        <v>-376292</v>
      </c>
      <c r="D68" s="1182" t="s">
        <v>1464</v>
      </c>
      <c r="E68" s="1167" t="s">
        <v>1465</v>
      </c>
      <c r="F68" s="356">
        <f ca="1">F40</f>
        <v>5.5E-2</v>
      </c>
      <c r="O68" s="1892" t="s">
        <v>1040</v>
      </c>
      <c r="P68" s="1932" t="s">
        <v>1578</v>
      </c>
      <c r="Q68" s="1884">
        <f ca="1">ROUND(Q69-Q70*Q71,0)</f>
        <v>68595</v>
      </c>
      <c r="R68" s="1884" t="s">
        <v>1048</v>
      </c>
    </row>
    <row r="69" spans="1:18" s="1840" customFormat="1" ht="13.5" thickBot="1">
      <c r="A69" s="1168"/>
      <c r="B69" s="1169"/>
      <c r="C69" s="350"/>
      <c r="D69" s="1187" t="s">
        <v>1468</v>
      </c>
      <c r="E69" s="1167" t="s">
        <v>1469</v>
      </c>
      <c r="F69" s="378">
        <f ca="1">F41</f>
        <v>27.13</v>
      </c>
      <c r="O69" s="1892" t="s">
        <v>1045</v>
      </c>
      <c r="P69" s="1932" t="s">
        <v>1579</v>
      </c>
      <c r="Q69" s="1884">
        <f ca="1">C39</f>
        <v>158310</v>
      </c>
      <c r="R69" s="1884" t="s">
        <v>1524</v>
      </c>
    </row>
    <row r="70" spans="1:18" s="1840" customFormat="1" ht="13.5" thickBot="1">
      <c r="A70" s="1171"/>
      <c r="B70" s="1172"/>
      <c r="C70" s="354"/>
      <c r="D70" s="1183"/>
      <c r="E70" s="1167" t="s">
        <v>1472</v>
      </c>
      <c r="F70" s="1273">
        <f ca="1">F42</f>
        <v>2.5000000000000001E-2</v>
      </c>
      <c r="O70" s="1892" t="s">
        <v>1046</v>
      </c>
      <c r="P70" s="1932" t="s">
        <v>1580</v>
      </c>
      <c r="Q70" s="1884">
        <f ca="1">C13</f>
        <v>1121436</v>
      </c>
      <c r="R70" s="1884" t="s">
        <v>1524</v>
      </c>
    </row>
    <row r="71" spans="1:18" s="1840" customFormat="1" ht="13.5" thickBot="1">
      <c r="A71" s="1188" t="s">
        <v>1030</v>
      </c>
      <c r="B71" s="1189" t="s">
        <v>1482</v>
      </c>
      <c r="C71" s="381">
        <f ca="1">ROUND(C68/F71,0)</f>
        <v>-1270</v>
      </c>
      <c r="D71" s="1190" t="s">
        <v>1483</v>
      </c>
      <c r="E71" s="1191" t="s">
        <v>1484</v>
      </c>
      <c r="F71" s="384">
        <f ca="1">F43</f>
        <v>296.32</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89715</v>
      </c>
      <c r="D75" s="1840"/>
      <c r="E75" s="1840"/>
      <c r="F75" s="1840"/>
      <c r="K75" s="1866"/>
      <c r="L75" s="1840"/>
      <c r="O75" s="1882" t="s">
        <v>1043</v>
      </c>
      <c r="P75" s="1883" t="s">
        <v>1544</v>
      </c>
      <c r="Q75" s="1884">
        <f ca="1">Q65+Q66</f>
        <v>2864394</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0.43300000000000005</v>
      </c>
    </row>
    <row r="80" spans="1:18">
      <c r="B80" s="385" t="s">
        <v>1506</v>
      </c>
      <c r="C80" s="317">
        <f ca="1">ROUND(C75/C39,3)</f>
        <v>0.56699999999999995</v>
      </c>
    </row>
    <row r="81" spans="2:3">
      <c r="B81" s="313" t="s">
        <v>1507</v>
      </c>
      <c r="C81" s="281"/>
    </row>
    <row r="82" spans="2:3">
      <c r="B82" s="316" t="s">
        <v>1508</v>
      </c>
      <c r="C82" s="318">
        <f ca="1">1-C83</f>
        <v>0.60799999999999998</v>
      </c>
    </row>
    <row r="83" spans="2:3">
      <c r="B83" s="316" t="s">
        <v>1509</v>
      </c>
      <c r="C83" s="317">
        <f ca="1">ROUND(C13/C40,3)</f>
        <v>0.39200000000000002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34" sqref="E3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2" t="s">
        <v>3005</v>
      </c>
      <c r="C1" s="3285" t="s">
        <v>3006</v>
      </c>
      <c r="D1" s="3286"/>
      <c r="E1" s="3286"/>
      <c r="F1" s="3286"/>
      <c r="G1" s="3286"/>
      <c r="H1" s="3286"/>
      <c r="I1" s="3286"/>
      <c r="J1" s="3286"/>
      <c r="K1" s="3286"/>
      <c r="L1" s="3286"/>
      <c r="M1" s="3286"/>
      <c r="N1" s="3286"/>
      <c r="O1" s="3286"/>
      <c r="P1" s="3286"/>
      <c r="Q1" s="3286"/>
      <c r="R1" s="3286"/>
      <c r="S1" s="3287"/>
      <c r="T1" s="1202" t="s">
        <v>3007</v>
      </c>
    </row>
    <row r="2" spans="1:45" s="706" customFormat="1" ht="38.25">
      <c r="A2" s="1203"/>
      <c r="B2" s="702" t="s">
        <v>3008</v>
      </c>
      <c r="C2" s="703" t="str">
        <f t="shared" ref="C2:L2" si="0">C3&amp;"(含)"&amp;"-"&amp;D3</f>
        <v>0(含)-100</v>
      </c>
      <c r="D2" s="704" t="str">
        <f t="shared" si="0"/>
        <v>100(含)-200</v>
      </c>
      <c r="E2" s="704" t="str">
        <f t="shared" si="0"/>
        <v>200(含)-500</v>
      </c>
      <c r="F2" s="704" t="str">
        <f t="shared" si="0"/>
        <v>500(含)-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200</v>
      </c>
      <c r="F3" s="1702">
        <v>500</v>
      </c>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98</v>
      </c>
      <c r="D4" s="1209">
        <v>99</v>
      </c>
      <c r="E4" s="1209">
        <v>100</v>
      </c>
      <c r="F4" s="170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3318" t="s">
        <v>3106</v>
      </c>
      <c r="C5" s="2980" t="s">
        <v>3107</v>
      </c>
      <c r="D5" s="2981" t="s">
        <v>3108</v>
      </c>
      <c r="E5" s="2981" t="s">
        <v>3110</v>
      </c>
      <c r="F5" s="1709"/>
      <c r="G5" s="2982" t="s">
        <v>3117</v>
      </c>
      <c r="H5" s="2982" t="s">
        <v>3119</v>
      </c>
      <c r="I5" s="2982" t="s">
        <v>3111</v>
      </c>
      <c r="J5" s="1709"/>
      <c r="K5" s="1709"/>
      <c r="L5" s="1710"/>
      <c r="M5" s="1711"/>
      <c r="N5" s="1711"/>
      <c r="O5" s="1709"/>
      <c r="P5" s="1709"/>
      <c r="Q5" s="1709"/>
      <c r="R5" s="1709"/>
      <c r="S5" s="1712"/>
      <c r="T5" s="1217">
        <v>1</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99</v>
      </c>
      <c r="E6" s="1117">
        <f t="shared" ref="E6:S6" si="7">D6-$T5</f>
        <v>98</v>
      </c>
      <c r="F6" s="1713">
        <f t="shared" si="7"/>
        <v>97</v>
      </c>
      <c r="G6" s="1713">
        <f t="shared" si="7"/>
        <v>96</v>
      </c>
      <c r="H6" s="1713">
        <f t="shared" si="7"/>
        <v>95</v>
      </c>
      <c r="I6" s="1713">
        <f t="shared" si="7"/>
        <v>94</v>
      </c>
      <c r="J6" s="1713">
        <f t="shared" si="7"/>
        <v>93</v>
      </c>
      <c r="K6" s="1713">
        <f t="shared" si="7"/>
        <v>92</v>
      </c>
      <c r="L6" s="1713">
        <f t="shared" si="7"/>
        <v>91</v>
      </c>
      <c r="M6" s="1713">
        <f t="shared" si="7"/>
        <v>90</v>
      </c>
      <c r="N6" s="1713">
        <f t="shared" si="7"/>
        <v>89</v>
      </c>
      <c r="O6" s="1713">
        <f t="shared" si="7"/>
        <v>88</v>
      </c>
      <c r="P6" s="1713">
        <f t="shared" si="7"/>
        <v>87</v>
      </c>
      <c r="Q6" s="1713">
        <f t="shared" si="7"/>
        <v>86</v>
      </c>
      <c r="R6" s="1713">
        <f t="shared" si="7"/>
        <v>85</v>
      </c>
      <c r="S6" s="1713">
        <f t="shared" si="7"/>
        <v>84</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3009</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3010</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0" t="s">
        <v>3014</v>
      </c>
      <c r="B17" s="2911"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2" t="s">
        <v>3016</v>
      </c>
      <c r="E19" s="1790"/>
      <c r="F19" s="1790"/>
      <c r="G19" s="1790"/>
      <c r="H19" s="1278"/>
      <c r="I19" s="167"/>
      <c r="J19" s="167"/>
      <c r="K19" s="167"/>
      <c r="L19" s="167"/>
      <c r="M19" s="167"/>
      <c r="N19" s="167"/>
      <c r="O19" s="167"/>
      <c r="P19" s="167"/>
      <c r="Q19" s="167"/>
      <c r="R19" s="786"/>
      <c r="S19" s="137"/>
    </row>
    <row r="20" spans="1:45" ht="16.5" thickBot="1">
      <c r="A20" s="714" t="s">
        <v>3017</v>
      </c>
      <c r="B20" s="337">
        <f ca="1">IF(D20="——",S22,S22-F20)</f>
        <v>2580</v>
      </c>
      <c r="C20" s="167"/>
      <c r="D20" s="2913" t="s">
        <v>70</v>
      </c>
      <c r="E20" s="1791"/>
      <c r="F20" s="1202" t="e">
        <f ca="1">SUMIF(INDIRECT("'"&amp;H20&amp;"'"&amp;"!A:A"),"承租人权益价值",INDIRECT("'"&amp;H20&amp;"'"&amp;"!c:c"))</f>
        <v>#REF!</v>
      </c>
      <c r="G20" s="1202" t="s">
        <v>3018</v>
      </c>
      <c r="H20" s="2914"/>
      <c r="I20" s="167"/>
      <c r="J20" s="167"/>
      <c r="K20" s="167"/>
      <c r="L20" s="167"/>
      <c r="M20" s="167"/>
      <c r="N20" s="167"/>
      <c r="O20" s="167"/>
      <c r="P20" s="167"/>
      <c r="Q20" s="167"/>
      <c r="R20" s="786"/>
      <c r="S20" s="137"/>
    </row>
    <row r="21" spans="1:45" ht="15.75">
      <c r="A21" s="714" t="s">
        <v>3019</v>
      </c>
      <c r="B21" s="337">
        <f ca="1">R22</f>
        <v>11647</v>
      </c>
      <c r="C21" s="167"/>
      <c r="D21" s="167"/>
      <c r="E21" s="167"/>
      <c r="F21" s="167"/>
      <c r="G21" s="167"/>
      <c r="H21" s="167"/>
      <c r="I21" s="167"/>
      <c r="J21" s="167"/>
      <c r="K21" s="167"/>
      <c r="L21" s="167"/>
      <c r="M21" s="167"/>
      <c r="N21" s="167"/>
      <c r="O21" s="167"/>
      <c r="P21" s="167"/>
      <c r="Q21" s="167"/>
      <c r="R21" s="786"/>
      <c r="S21" s="137"/>
    </row>
    <row r="22" spans="1:45">
      <c r="A22" s="360" t="s">
        <v>3020</v>
      </c>
      <c r="B22" s="23">
        <f>SUM(B24:B10000)</f>
        <v>2215.16</v>
      </c>
      <c r="C22" s="3086" t="s">
        <v>33</v>
      </c>
      <c r="D22" s="3087"/>
      <c r="E22" s="3087"/>
      <c r="F22" s="3087"/>
      <c r="G22" s="3087"/>
      <c r="H22" s="3087"/>
      <c r="I22" s="3087"/>
      <c r="J22" s="3087"/>
      <c r="K22" s="3087"/>
      <c r="L22" s="3087"/>
      <c r="M22" s="3087"/>
      <c r="N22" s="3087"/>
      <c r="O22" s="3087"/>
      <c r="P22" s="3087"/>
      <c r="Q22" s="3284"/>
      <c r="R22" s="715">
        <f ca="1">ROUND(S22*10000/B22,0)</f>
        <v>11647</v>
      </c>
      <c r="S22" s="23">
        <f ca="1">SUM(S24:S10000)</f>
        <v>2580</v>
      </c>
    </row>
    <row r="23" spans="1:45" s="12" customFormat="1" ht="24">
      <c r="A23" s="11" t="s">
        <v>3021</v>
      </c>
      <c r="B23" s="11" t="s">
        <v>3022</v>
      </c>
      <c r="C23" s="11" t="s">
        <v>3023</v>
      </c>
      <c r="D23" s="11" t="str">
        <f>B5</f>
        <v>朝向</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3.5">
      <c r="A24" s="2983">
        <v>2301</v>
      </c>
      <c r="B24" s="2972">
        <v>296.32</v>
      </c>
      <c r="C24" s="717">
        <v>1</v>
      </c>
      <c r="D24" s="718" t="s">
        <v>3118</v>
      </c>
      <c r="E24" s="717">
        <v>1</v>
      </c>
      <c r="F24" s="718"/>
      <c r="G24" s="717">
        <v>1</v>
      </c>
      <c r="H24" s="718"/>
      <c r="I24" s="717">
        <v>1</v>
      </c>
      <c r="J24" s="718"/>
      <c r="K24" s="717">
        <v>1</v>
      </c>
      <c r="L24" s="718"/>
      <c r="M24" s="717">
        <v>1</v>
      </c>
      <c r="N24" s="718"/>
      <c r="O24" s="717">
        <v>1</v>
      </c>
      <c r="P24" s="718"/>
      <c r="Q24" s="717">
        <v>1</v>
      </c>
      <c r="R24" s="719">
        <f ca="1">'结果表-办公'!G20</f>
        <v>11436</v>
      </c>
      <c r="S24" s="717">
        <f t="shared" ref="S24:S54" ca="1" si="11">ROUND(R24*B24/10000,0)</f>
        <v>339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3.5">
      <c r="A25" s="158">
        <v>2302</v>
      </c>
      <c r="B25" s="2972">
        <v>159.13</v>
      </c>
      <c r="C25" s="23">
        <f>IF(B25="",1,(LOOKUP(B25,$3:$3,$4:$4)-LOOKUP($B$24,$3:$3,$4:$4)+100)/100)</f>
        <v>0.99</v>
      </c>
      <c r="D25" s="718" t="s">
        <v>3066</v>
      </c>
      <c r="E25" s="23">
        <f>(SUMIF($5:$5,D25,$6:$6)-SUMIF($5:$5,$D$24,$6:$6)+100)/100</f>
        <v>0.99</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5">
        <f ca="1">IF(B25="",0,ROUND($R$24*C25*E25*G25*I25*K25*M25*O25*Q25,0))</f>
        <v>11208</v>
      </c>
      <c r="S25" s="360">
        <f t="shared" ca="1" si="11"/>
        <v>178</v>
      </c>
    </row>
    <row r="26" spans="1:45" ht="13.5">
      <c r="A26" s="2983">
        <v>2303</v>
      </c>
      <c r="B26" s="2972">
        <v>308.7</v>
      </c>
      <c r="C26" s="23">
        <f t="shared" ref="C26:C89" si="12">IF(B26="",1,(LOOKUP(B26,$3:$3,$4:$4)-LOOKUP($B$24,$3:$3,$4:$4)+100)/100)</f>
        <v>1</v>
      </c>
      <c r="D26" s="718" t="s">
        <v>3116</v>
      </c>
      <c r="E26" s="23">
        <f t="shared" ref="E26:E89" si="13">(SUMIF($5:$5,D26,$6:$6)-SUMIF($5:$5,$D$24,$6:$6)+100)/100</f>
        <v>1.01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5">
        <f t="shared" ref="R26:R89" ca="1" si="20">IF(B26="",0,ROUND($R$24*C26*E26*G26*I26*K26*M26*O26*Q26,0))</f>
        <v>11550</v>
      </c>
      <c r="S26" s="360">
        <f t="shared" ca="1" si="11"/>
        <v>357</v>
      </c>
    </row>
    <row r="27" spans="1:45" ht="13.5">
      <c r="A27" s="158">
        <v>2304</v>
      </c>
      <c r="B27" s="2972">
        <v>334.91</v>
      </c>
      <c r="C27" s="23">
        <f t="shared" si="12"/>
        <v>1</v>
      </c>
      <c r="D27" s="718" t="s">
        <v>3109</v>
      </c>
      <c r="E27" s="23">
        <f t="shared" si="13"/>
        <v>1.03</v>
      </c>
      <c r="F27" s="718"/>
      <c r="G27" s="23">
        <f t="shared" si="14"/>
        <v>1</v>
      </c>
      <c r="H27" s="718"/>
      <c r="I27" s="23">
        <f t="shared" si="15"/>
        <v>1</v>
      </c>
      <c r="J27" s="718"/>
      <c r="K27" s="23">
        <f t="shared" si="16"/>
        <v>1</v>
      </c>
      <c r="L27" s="718"/>
      <c r="M27" s="23">
        <f t="shared" si="17"/>
        <v>1</v>
      </c>
      <c r="N27" s="718"/>
      <c r="O27" s="23">
        <f t="shared" si="18"/>
        <v>1</v>
      </c>
      <c r="P27" s="718"/>
      <c r="Q27" s="23">
        <f t="shared" si="19"/>
        <v>1</v>
      </c>
      <c r="R27" s="715">
        <f t="shared" ca="1" si="20"/>
        <v>11779</v>
      </c>
      <c r="S27" s="360">
        <f t="shared" ca="1" si="11"/>
        <v>394</v>
      </c>
    </row>
    <row r="28" spans="1:45" ht="13.5">
      <c r="A28" s="2983">
        <v>2305</v>
      </c>
      <c r="B28" s="2973">
        <v>312.8</v>
      </c>
      <c r="C28" s="23">
        <f t="shared" si="12"/>
        <v>1</v>
      </c>
      <c r="D28" s="718" t="s">
        <v>3093</v>
      </c>
      <c r="E28" s="23">
        <f t="shared" si="13"/>
        <v>1.04</v>
      </c>
      <c r="F28" s="718"/>
      <c r="G28" s="23">
        <f t="shared" si="14"/>
        <v>1</v>
      </c>
      <c r="H28" s="718"/>
      <c r="I28" s="23">
        <f t="shared" si="15"/>
        <v>1</v>
      </c>
      <c r="J28" s="718"/>
      <c r="K28" s="23">
        <f t="shared" si="16"/>
        <v>1</v>
      </c>
      <c r="L28" s="718"/>
      <c r="M28" s="23">
        <f t="shared" si="17"/>
        <v>1</v>
      </c>
      <c r="N28" s="718"/>
      <c r="O28" s="23">
        <f t="shared" si="18"/>
        <v>1</v>
      </c>
      <c r="P28" s="718"/>
      <c r="Q28" s="23">
        <f t="shared" si="19"/>
        <v>1</v>
      </c>
      <c r="R28" s="715">
        <f t="shared" ca="1" si="20"/>
        <v>11893</v>
      </c>
      <c r="S28" s="360">
        <f t="shared" ca="1" si="11"/>
        <v>372</v>
      </c>
    </row>
    <row r="29" spans="1:45" ht="14.25">
      <c r="A29" s="158">
        <v>2306</v>
      </c>
      <c r="B29" s="38">
        <v>159.13</v>
      </c>
      <c r="C29" s="23">
        <f t="shared" si="12"/>
        <v>0.99</v>
      </c>
      <c r="D29" s="718" t="s">
        <v>3091</v>
      </c>
      <c r="E29" s="23">
        <f t="shared" si="13"/>
        <v>1.05</v>
      </c>
      <c r="F29" s="718"/>
      <c r="G29" s="23">
        <f t="shared" si="14"/>
        <v>1</v>
      </c>
      <c r="H29" s="718"/>
      <c r="I29" s="23">
        <f t="shared" si="15"/>
        <v>1</v>
      </c>
      <c r="J29" s="718"/>
      <c r="K29" s="23">
        <f t="shared" si="16"/>
        <v>1</v>
      </c>
      <c r="L29" s="718"/>
      <c r="M29" s="23">
        <f t="shared" si="17"/>
        <v>1</v>
      </c>
      <c r="N29" s="718"/>
      <c r="O29" s="23">
        <f t="shared" si="18"/>
        <v>1</v>
      </c>
      <c r="P29" s="718"/>
      <c r="Q29" s="23">
        <f t="shared" si="19"/>
        <v>1</v>
      </c>
      <c r="R29" s="715">
        <f t="shared" ca="1" si="20"/>
        <v>11888</v>
      </c>
      <c r="S29" s="360">
        <f t="shared" ca="1" si="11"/>
        <v>189</v>
      </c>
    </row>
    <row r="30" spans="1:45" ht="14.25">
      <c r="A30" s="2983">
        <v>2307</v>
      </c>
      <c r="B30" s="38">
        <v>309.19</v>
      </c>
      <c r="C30" s="23">
        <f t="shared" si="12"/>
        <v>1</v>
      </c>
      <c r="D30" s="718" t="s">
        <v>3109</v>
      </c>
      <c r="E30" s="23">
        <f t="shared" si="13"/>
        <v>1.03</v>
      </c>
      <c r="F30" s="718"/>
      <c r="G30" s="23">
        <f t="shared" si="14"/>
        <v>1</v>
      </c>
      <c r="H30" s="718"/>
      <c r="I30" s="23">
        <f t="shared" si="15"/>
        <v>1</v>
      </c>
      <c r="J30" s="718"/>
      <c r="K30" s="23">
        <f t="shared" si="16"/>
        <v>1</v>
      </c>
      <c r="L30" s="718"/>
      <c r="M30" s="23">
        <f t="shared" si="17"/>
        <v>1</v>
      </c>
      <c r="N30" s="718"/>
      <c r="O30" s="23">
        <f t="shared" si="18"/>
        <v>1</v>
      </c>
      <c r="P30" s="718"/>
      <c r="Q30" s="23">
        <f t="shared" si="19"/>
        <v>1</v>
      </c>
      <c r="R30" s="715">
        <f t="shared" ca="1" si="20"/>
        <v>11779</v>
      </c>
      <c r="S30" s="360">
        <f t="shared" ca="1" si="11"/>
        <v>364</v>
      </c>
    </row>
    <row r="31" spans="1:45" ht="14.25">
      <c r="A31" s="158">
        <v>2308</v>
      </c>
      <c r="B31" s="38">
        <v>334.98</v>
      </c>
      <c r="C31" s="23">
        <f t="shared" si="12"/>
        <v>1</v>
      </c>
      <c r="D31" s="718" t="s">
        <v>3116</v>
      </c>
      <c r="E31" s="23">
        <f t="shared" si="13"/>
        <v>1.01</v>
      </c>
      <c r="F31" s="718"/>
      <c r="G31" s="23">
        <f t="shared" si="14"/>
        <v>1</v>
      </c>
      <c r="H31" s="718"/>
      <c r="I31" s="23">
        <f t="shared" si="15"/>
        <v>1</v>
      </c>
      <c r="J31" s="718"/>
      <c r="K31" s="23">
        <f t="shared" si="16"/>
        <v>1</v>
      </c>
      <c r="L31" s="718"/>
      <c r="M31" s="23">
        <f t="shared" si="17"/>
        <v>1</v>
      </c>
      <c r="N31" s="718"/>
      <c r="O31" s="23">
        <f t="shared" si="18"/>
        <v>1</v>
      </c>
      <c r="P31" s="718"/>
      <c r="Q31" s="23">
        <f t="shared" si="19"/>
        <v>1</v>
      </c>
      <c r="R31" s="715">
        <f t="shared" ca="1" si="20"/>
        <v>11550</v>
      </c>
      <c r="S31" s="360">
        <f t="shared" ca="1" si="11"/>
        <v>387</v>
      </c>
    </row>
    <row r="32" spans="1:45">
      <c r="A32" s="158"/>
      <c r="B32" s="58"/>
      <c r="C32" s="23">
        <f t="shared" si="12"/>
        <v>1</v>
      </c>
      <c r="D32" s="718"/>
      <c r="E32" s="23">
        <f t="shared" si="13"/>
        <v>0.05</v>
      </c>
      <c r="F32" s="718"/>
      <c r="G32" s="23">
        <f t="shared" si="14"/>
        <v>1</v>
      </c>
      <c r="H32" s="718"/>
      <c r="I32" s="23">
        <f t="shared" si="15"/>
        <v>1</v>
      </c>
      <c r="J32" s="718"/>
      <c r="K32" s="23">
        <f t="shared" si="16"/>
        <v>1</v>
      </c>
      <c r="L32" s="718"/>
      <c r="M32" s="23">
        <f t="shared" si="17"/>
        <v>1</v>
      </c>
      <c r="N32" s="718"/>
      <c r="O32" s="23">
        <f t="shared" si="18"/>
        <v>1</v>
      </c>
      <c r="P32" s="718"/>
      <c r="Q32" s="23">
        <f t="shared" si="19"/>
        <v>1</v>
      </c>
      <c r="R32" s="715">
        <f t="shared" si="20"/>
        <v>0</v>
      </c>
      <c r="S32" s="360">
        <f t="shared" si="11"/>
        <v>0</v>
      </c>
    </row>
    <row r="33" spans="1:19">
      <c r="A33" s="158"/>
      <c r="B33" s="58"/>
      <c r="C33" s="23">
        <f t="shared" si="12"/>
        <v>1</v>
      </c>
      <c r="D33" s="718"/>
      <c r="E33" s="23">
        <f t="shared" si="13"/>
        <v>0.05</v>
      </c>
      <c r="F33" s="718"/>
      <c r="G33" s="23">
        <f t="shared" si="14"/>
        <v>1</v>
      </c>
      <c r="H33" s="718"/>
      <c r="I33" s="23">
        <f t="shared" si="15"/>
        <v>1</v>
      </c>
      <c r="J33" s="718"/>
      <c r="K33" s="23">
        <f t="shared" si="16"/>
        <v>1</v>
      </c>
      <c r="L33" s="718"/>
      <c r="M33" s="23">
        <f t="shared" si="17"/>
        <v>1</v>
      </c>
      <c r="N33" s="718"/>
      <c r="O33" s="23">
        <f t="shared" si="18"/>
        <v>1</v>
      </c>
      <c r="P33" s="718"/>
      <c r="Q33" s="23">
        <f t="shared" si="19"/>
        <v>1</v>
      </c>
      <c r="R33" s="715">
        <f t="shared" si="20"/>
        <v>0</v>
      </c>
      <c r="S33" s="360">
        <f t="shared" si="11"/>
        <v>0</v>
      </c>
    </row>
    <row r="34" spans="1:19">
      <c r="A34" s="158"/>
      <c r="B34" s="58"/>
      <c r="C34" s="23">
        <f t="shared" si="12"/>
        <v>1</v>
      </c>
      <c r="D34" s="718"/>
      <c r="E34" s="23">
        <f t="shared" si="13"/>
        <v>0.05</v>
      </c>
      <c r="F34" s="718"/>
      <c r="G34" s="23">
        <f t="shared" si="14"/>
        <v>1</v>
      </c>
      <c r="H34" s="718"/>
      <c r="I34" s="23">
        <f t="shared" si="15"/>
        <v>1</v>
      </c>
      <c r="J34" s="718"/>
      <c r="K34" s="23">
        <f t="shared" si="16"/>
        <v>1</v>
      </c>
      <c r="L34" s="718"/>
      <c r="M34" s="23">
        <f t="shared" si="17"/>
        <v>1</v>
      </c>
      <c r="N34" s="718"/>
      <c r="O34" s="23">
        <f t="shared" si="18"/>
        <v>1</v>
      </c>
      <c r="P34" s="718"/>
      <c r="Q34" s="23">
        <f t="shared" si="19"/>
        <v>1</v>
      </c>
      <c r="R34" s="715">
        <f t="shared" si="20"/>
        <v>0</v>
      </c>
      <c r="S34" s="360">
        <f t="shared" si="11"/>
        <v>0</v>
      </c>
    </row>
    <row r="35" spans="1:19">
      <c r="A35" s="158"/>
      <c r="B35" s="58"/>
      <c r="C35" s="23">
        <f t="shared" si="12"/>
        <v>1</v>
      </c>
      <c r="D35" s="718"/>
      <c r="E35" s="23">
        <f t="shared" si="13"/>
        <v>0.05</v>
      </c>
      <c r="F35" s="718"/>
      <c r="G35" s="23">
        <f t="shared" si="14"/>
        <v>1</v>
      </c>
      <c r="H35" s="718"/>
      <c r="I35" s="23">
        <f t="shared" si="15"/>
        <v>1</v>
      </c>
      <c r="J35" s="718"/>
      <c r="K35" s="23">
        <f t="shared" si="16"/>
        <v>1</v>
      </c>
      <c r="L35" s="718"/>
      <c r="M35" s="23">
        <f t="shared" si="17"/>
        <v>1</v>
      </c>
      <c r="N35" s="718"/>
      <c r="O35" s="23">
        <f t="shared" si="18"/>
        <v>1</v>
      </c>
      <c r="P35" s="718"/>
      <c r="Q35" s="23">
        <f t="shared" si="19"/>
        <v>1</v>
      </c>
      <c r="R35" s="715">
        <f t="shared" si="20"/>
        <v>0</v>
      </c>
      <c r="S35" s="360">
        <f t="shared" si="11"/>
        <v>0</v>
      </c>
    </row>
    <row r="36" spans="1:19">
      <c r="A36" s="158"/>
      <c r="B36" s="58"/>
      <c r="C36" s="23">
        <f t="shared" si="12"/>
        <v>1</v>
      </c>
      <c r="D36" s="718"/>
      <c r="E36" s="23">
        <f t="shared" si="13"/>
        <v>0.05</v>
      </c>
      <c r="F36" s="718"/>
      <c r="G36" s="23">
        <f t="shared" si="14"/>
        <v>1</v>
      </c>
      <c r="H36" s="718"/>
      <c r="I36" s="23">
        <f t="shared" si="15"/>
        <v>1</v>
      </c>
      <c r="J36" s="718"/>
      <c r="K36" s="23">
        <f t="shared" si="16"/>
        <v>1</v>
      </c>
      <c r="L36" s="718"/>
      <c r="M36" s="23">
        <f t="shared" si="17"/>
        <v>1</v>
      </c>
      <c r="N36" s="718"/>
      <c r="O36" s="23">
        <f t="shared" si="18"/>
        <v>1</v>
      </c>
      <c r="P36" s="718"/>
      <c r="Q36" s="23">
        <f t="shared" si="19"/>
        <v>1</v>
      </c>
      <c r="R36" s="715">
        <f t="shared" si="20"/>
        <v>0</v>
      </c>
      <c r="S36" s="360">
        <f t="shared" si="11"/>
        <v>0</v>
      </c>
    </row>
    <row r="37" spans="1:19">
      <c r="A37" s="158"/>
      <c r="B37" s="58"/>
      <c r="C37" s="23">
        <f t="shared" si="12"/>
        <v>1</v>
      </c>
      <c r="D37" s="718"/>
      <c r="E37" s="23">
        <f t="shared" si="13"/>
        <v>0.05</v>
      </c>
      <c r="F37" s="718"/>
      <c r="G37" s="23">
        <f t="shared" si="14"/>
        <v>1</v>
      </c>
      <c r="H37" s="718"/>
      <c r="I37" s="23">
        <f t="shared" si="15"/>
        <v>1</v>
      </c>
      <c r="J37" s="718"/>
      <c r="K37" s="23">
        <f t="shared" si="16"/>
        <v>1</v>
      </c>
      <c r="L37" s="718"/>
      <c r="M37" s="23">
        <f t="shared" si="17"/>
        <v>1</v>
      </c>
      <c r="N37" s="718"/>
      <c r="O37" s="23">
        <f t="shared" si="18"/>
        <v>1</v>
      </c>
      <c r="P37" s="718"/>
      <c r="Q37" s="23">
        <f t="shared" si="19"/>
        <v>1</v>
      </c>
      <c r="R37" s="715">
        <f t="shared" si="20"/>
        <v>0</v>
      </c>
      <c r="S37" s="360">
        <f t="shared" si="11"/>
        <v>0</v>
      </c>
    </row>
    <row r="38" spans="1:19">
      <c r="A38" s="158"/>
      <c r="B38" s="58"/>
      <c r="C38" s="23">
        <f t="shared" si="12"/>
        <v>1</v>
      </c>
      <c r="D38" s="718"/>
      <c r="E38" s="23">
        <f t="shared" si="13"/>
        <v>0.05</v>
      </c>
      <c r="F38" s="718"/>
      <c r="G38" s="23">
        <f t="shared" si="14"/>
        <v>1</v>
      </c>
      <c r="H38" s="718"/>
      <c r="I38" s="23">
        <f t="shared" si="15"/>
        <v>1</v>
      </c>
      <c r="J38" s="718"/>
      <c r="K38" s="23">
        <f t="shared" si="16"/>
        <v>1</v>
      </c>
      <c r="L38" s="718"/>
      <c r="M38" s="23">
        <f t="shared" si="17"/>
        <v>1</v>
      </c>
      <c r="N38" s="718"/>
      <c r="O38" s="23">
        <f t="shared" si="18"/>
        <v>1</v>
      </c>
      <c r="P38" s="718"/>
      <c r="Q38" s="23">
        <f t="shared" si="19"/>
        <v>1</v>
      </c>
      <c r="R38" s="715">
        <f t="shared" si="20"/>
        <v>0</v>
      </c>
      <c r="S38" s="360">
        <f t="shared" si="11"/>
        <v>0</v>
      </c>
    </row>
    <row r="39" spans="1:19">
      <c r="A39" s="158"/>
      <c r="B39" s="58"/>
      <c r="C39" s="23">
        <f t="shared" si="12"/>
        <v>1</v>
      </c>
      <c r="D39" s="718"/>
      <c r="E39" s="23">
        <f t="shared" si="13"/>
        <v>0.05</v>
      </c>
      <c r="F39" s="718"/>
      <c r="G39" s="23">
        <f t="shared" si="14"/>
        <v>1</v>
      </c>
      <c r="H39" s="718"/>
      <c r="I39" s="23">
        <f t="shared" si="15"/>
        <v>1</v>
      </c>
      <c r="J39" s="718"/>
      <c r="K39" s="23">
        <f t="shared" si="16"/>
        <v>1</v>
      </c>
      <c r="L39" s="718"/>
      <c r="M39" s="23">
        <f t="shared" si="17"/>
        <v>1</v>
      </c>
      <c r="N39" s="718"/>
      <c r="O39" s="23">
        <f t="shared" si="18"/>
        <v>1</v>
      </c>
      <c r="P39" s="718"/>
      <c r="Q39" s="23">
        <f t="shared" si="19"/>
        <v>1</v>
      </c>
      <c r="R39" s="715">
        <f t="shared" si="20"/>
        <v>0</v>
      </c>
      <c r="S39" s="360">
        <f t="shared" si="11"/>
        <v>0</v>
      </c>
    </row>
    <row r="40" spans="1:19">
      <c r="A40" s="158"/>
      <c r="B40" s="58"/>
      <c r="C40" s="23">
        <f t="shared" si="12"/>
        <v>1</v>
      </c>
      <c r="D40" s="718"/>
      <c r="E40" s="23">
        <f t="shared" si="13"/>
        <v>0.05</v>
      </c>
      <c r="F40" s="718"/>
      <c r="G40" s="23">
        <f t="shared" si="14"/>
        <v>1</v>
      </c>
      <c r="H40" s="718"/>
      <c r="I40" s="23">
        <f t="shared" si="15"/>
        <v>1</v>
      </c>
      <c r="J40" s="718"/>
      <c r="K40" s="23">
        <f t="shared" si="16"/>
        <v>1</v>
      </c>
      <c r="L40" s="718"/>
      <c r="M40" s="23">
        <f t="shared" si="17"/>
        <v>1</v>
      </c>
      <c r="N40" s="718"/>
      <c r="O40" s="23">
        <f t="shared" si="18"/>
        <v>1</v>
      </c>
      <c r="P40" s="718"/>
      <c r="Q40" s="23">
        <f t="shared" si="19"/>
        <v>1</v>
      </c>
      <c r="R40" s="715">
        <f t="shared" si="20"/>
        <v>0</v>
      </c>
      <c r="S40" s="360">
        <f t="shared" si="11"/>
        <v>0</v>
      </c>
    </row>
    <row r="41" spans="1:19">
      <c r="A41" s="158"/>
      <c r="B41" s="58"/>
      <c r="C41" s="23">
        <f t="shared" si="12"/>
        <v>1</v>
      </c>
      <c r="D41" s="718"/>
      <c r="E41" s="23">
        <f t="shared" si="13"/>
        <v>0.05</v>
      </c>
      <c r="F41" s="718"/>
      <c r="G41" s="23">
        <f t="shared" si="14"/>
        <v>1</v>
      </c>
      <c r="H41" s="718"/>
      <c r="I41" s="23">
        <f t="shared" si="15"/>
        <v>1</v>
      </c>
      <c r="J41" s="718"/>
      <c r="K41" s="23">
        <f t="shared" si="16"/>
        <v>1</v>
      </c>
      <c r="L41" s="718"/>
      <c r="M41" s="23">
        <f t="shared" si="17"/>
        <v>1</v>
      </c>
      <c r="N41" s="718"/>
      <c r="O41" s="23">
        <f t="shared" si="18"/>
        <v>1</v>
      </c>
      <c r="P41" s="718"/>
      <c r="Q41" s="23">
        <f t="shared" si="19"/>
        <v>1</v>
      </c>
      <c r="R41" s="715">
        <f t="shared" si="20"/>
        <v>0</v>
      </c>
      <c r="S41" s="360">
        <f t="shared" si="11"/>
        <v>0</v>
      </c>
    </row>
    <row r="42" spans="1:19">
      <c r="A42" s="158"/>
      <c r="B42" s="58"/>
      <c r="C42" s="23">
        <f t="shared" si="12"/>
        <v>1</v>
      </c>
      <c r="D42" s="718"/>
      <c r="E42" s="23">
        <f t="shared" si="13"/>
        <v>0.05</v>
      </c>
      <c r="F42" s="718"/>
      <c r="G42" s="23">
        <f t="shared" si="14"/>
        <v>1</v>
      </c>
      <c r="H42" s="718"/>
      <c r="I42" s="23">
        <f t="shared" si="15"/>
        <v>1</v>
      </c>
      <c r="J42" s="718"/>
      <c r="K42" s="23">
        <f t="shared" si="16"/>
        <v>1</v>
      </c>
      <c r="L42" s="718"/>
      <c r="M42" s="23">
        <f t="shared" si="17"/>
        <v>1</v>
      </c>
      <c r="N42" s="718"/>
      <c r="O42" s="23">
        <f t="shared" si="18"/>
        <v>1</v>
      </c>
      <c r="P42" s="718"/>
      <c r="Q42" s="23">
        <f t="shared" si="19"/>
        <v>1</v>
      </c>
      <c r="R42" s="715">
        <f t="shared" si="20"/>
        <v>0</v>
      </c>
      <c r="S42" s="360">
        <f t="shared" si="11"/>
        <v>0</v>
      </c>
    </row>
    <row r="43" spans="1:19">
      <c r="A43" s="158"/>
      <c r="B43" s="58"/>
      <c r="C43" s="23">
        <f t="shared" si="12"/>
        <v>1</v>
      </c>
      <c r="D43" s="718"/>
      <c r="E43" s="23">
        <f t="shared" si="13"/>
        <v>0.05</v>
      </c>
      <c r="F43" s="718"/>
      <c r="G43" s="23">
        <f t="shared" si="14"/>
        <v>1</v>
      </c>
      <c r="H43" s="718"/>
      <c r="I43" s="23">
        <f t="shared" si="15"/>
        <v>1</v>
      </c>
      <c r="J43" s="718"/>
      <c r="K43" s="23">
        <f t="shared" si="16"/>
        <v>1</v>
      </c>
      <c r="L43" s="718"/>
      <c r="M43" s="23">
        <f t="shared" si="17"/>
        <v>1</v>
      </c>
      <c r="N43" s="718"/>
      <c r="O43" s="23">
        <f t="shared" si="18"/>
        <v>1</v>
      </c>
      <c r="P43" s="718"/>
      <c r="Q43" s="23">
        <f t="shared" si="19"/>
        <v>1</v>
      </c>
      <c r="R43" s="715">
        <f t="shared" si="20"/>
        <v>0</v>
      </c>
      <c r="S43" s="360">
        <f t="shared" si="11"/>
        <v>0</v>
      </c>
    </row>
    <row r="44" spans="1:19">
      <c r="A44" s="158"/>
      <c r="B44" s="58"/>
      <c r="C44" s="23">
        <f t="shared" si="12"/>
        <v>1</v>
      </c>
      <c r="D44" s="718"/>
      <c r="E44" s="23">
        <f t="shared" si="13"/>
        <v>0.05</v>
      </c>
      <c r="F44" s="718"/>
      <c r="G44" s="23">
        <f t="shared" si="14"/>
        <v>1</v>
      </c>
      <c r="H44" s="718"/>
      <c r="I44" s="23">
        <f t="shared" si="15"/>
        <v>1</v>
      </c>
      <c r="J44" s="718"/>
      <c r="K44" s="23">
        <f t="shared" si="16"/>
        <v>1</v>
      </c>
      <c r="L44" s="718"/>
      <c r="M44" s="23">
        <f t="shared" si="17"/>
        <v>1</v>
      </c>
      <c r="N44" s="718"/>
      <c r="O44" s="23">
        <f t="shared" si="18"/>
        <v>1</v>
      </c>
      <c r="P44" s="718"/>
      <c r="Q44" s="23">
        <f t="shared" si="19"/>
        <v>1</v>
      </c>
      <c r="R44" s="715">
        <f t="shared" si="20"/>
        <v>0</v>
      </c>
      <c r="S44" s="360">
        <f t="shared" si="11"/>
        <v>0</v>
      </c>
    </row>
    <row r="45" spans="1:19">
      <c r="A45" s="158"/>
      <c r="B45" s="58"/>
      <c r="C45" s="23">
        <f t="shared" si="12"/>
        <v>1</v>
      </c>
      <c r="D45" s="718"/>
      <c r="E45" s="23">
        <f t="shared" si="13"/>
        <v>0.05</v>
      </c>
      <c r="F45" s="718"/>
      <c r="G45" s="23">
        <f t="shared" si="14"/>
        <v>1</v>
      </c>
      <c r="H45" s="718"/>
      <c r="I45" s="23">
        <f t="shared" si="15"/>
        <v>1</v>
      </c>
      <c r="J45" s="718"/>
      <c r="K45" s="23">
        <f t="shared" si="16"/>
        <v>1</v>
      </c>
      <c r="L45" s="718"/>
      <c r="M45" s="23">
        <f t="shared" si="17"/>
        <v>1</v>
      </c>
      <c r="N45" s="718"/>
      <c r="O45" s="23">
        <f t="shared" si="18"/>
        <v>1</v>
      </c>
      <c r="P45" s="718"/>
      <c r="Q45" s="23">
        <f t="shared" si="19"/>
        <v>1</v>
      </c>
      <c r="R45" s="715">
        <f t="shared" si="20"/>
        <v>0</v>
      </c>
      <c r="S45" s="360">
        <f t="shared" si="11"/>
        <v>0</v>
      </c>
    </row>
    <row r="46" spans="1:19">
      <c r="A46" s="158"/>
      <c r="B46" s="58"/>
      <c r="C46" s="23">
        <f t="shared" si="12"/>
        <v>1</v>
      </c>
      <c r="D46" s="718"/>
      <c r="E46" s="23">
        <f t="shared" si="13"/>
        <v>0.05</v>
      </c>
      <c r="F46" s="718"/>
      <c r="G46" s="23">
        <f t="shared" si="14"/>
        <v>1</v>
      </c>
      <c r="H46" s="718"/>
      <c r="I46" s="23">
        <f t="shared" si="15"/>
        <v>1</v>
      </c>
      <c r="J46" s="718"/>
      <c r="K46" s="23">
        <f t="shared" si="16"/>
        <v>1</v>
      </c>
      <c r="L46" s="718"/>
      <c r="M46" s="23">
        <f t="shared" si="17"/>
        <v>1</v>
      </c>
      <c r="N46" s="718"/>
      <c r="O46" s="23">
        <f t="shared" si="18"/>
        <v>1</v>
      </c>
      <c r="P46" s="718"/>
      <c r="Q46" s="23">
        <f t="shared" si="19"/>
        <v>1</v>
      </c>
      <c r="R46" s="715">
        <f t="shared" si="20"/>
        <v>0</v>
      </c>
      <c r="S46" s="360">
        <f t="shared" si="11"/>
        <v>0</v>
      </c>
    </row>
    <row r="47" spans="1:19">
      <c r="A47" s="158"/>
      <c r="B47" s="58"/>
      <c r="C47" s="23">
        <f t="shared" si="12"/>
        <v>1</v>
      </c>
      <c r="D47" s="718"/>
      <c r="E47" s="23">
        <f t="shared" si="13"/>
        <v>0.05</v>
      </c>
      <c r="F47" s="718"/>
      <c r="G47" s="23">
        <f t="shared" si="14"/>
        <v>1</v>
      </c>
      <c r="H47" s="718"/>
      <c r="I47" s="23">
        <f t="shared" si="15"/>
        <v>1</v>
      </c>
      <c r="J47" s="718"/>
      <c r="K47" s="23">
        <f t="shared" si="16"/>
        <v>1</v>
      </c>
      <c r="L47" s="718"/>
      <c r="M47" s="23">
        <f t="shared" si="17"/>
        <v>1</v>
      </c>
      <c r="N47" s="718"/>
      <c r="O47" s="23">
        <f t="shared" si="18"/>
        <v>1</v>
      </c>
      <c r="P47" s="718"/>
      <c r="Q47" s="23">
        <f t="shared" si="19"/>
        <v>1</v>
      </c>
      <c r="R47" s="715">
        <f t="shared" si="20"/>
        <v>0</v>
      </c>
      <c r="S47" s="360">
        <f t="shared" si="11"/>
        <v>0</v>
      </c>
    </row>
    <row r="48" spans="1:19">
      <c r="A48" s="158"/>
      <c r="B48" s="58"/>
      <c r="C48" s="23">
        <f t="shared" si="12"/>
        <v>1</v>
      </c>
      <c r="D48" s="718"/>
      <c r="E48" s="23">
        <f t="shared" si="13"/>
        <v>0.05</v>
      </c>
      <c r="F48" s="718"/>
      <c r="G48" s="23">
        <f t="shared" si="14"/>
        <v>1</v>
      </c>
      <c r="H48" s="718"/>
      <c r="I48" s="23">
        <f t="shared" si="15"/>
        <v>1</v>
      </c>
      <c r="J48" s="718"/>
      <c r="K48" s="23">
        <f t="shared" si="16"/>
        <v>1</v>
      </c>
      <c r="L48" s="718"/>
      <c r="M48" s="23">
        <f t="shared" si="17"/>
        <v>1</v>
      </c>
      <c r="N48" s="718"/>
      <c r="O48" s="23">
        <f t="shared" si="18"/>
        <v>1</v>
      </c>
      <c r="P48" s="718"/>
      <c r="Q48" s="23">
        <f t="shared" si="19"/>
        <v>1</v>
      </c>
      <c r="R48" s="715">
        <f t="shared" si="20"/>
        <v>0</v>
      </c>
      <c r="S48" s="360">
        <f t="shared" si="11"/>
        <v>0</v>
      </c>
    </row>
    <row r="49" spans="1:19">
      <c r="A49" s="158"/>
      <c r="B49" s="58"/>
      <c r="C49" s="23">
        <f t="shared" si="12"/>
        <v>1</v>
      </c>
      <c r="D49" s="718"/>
      <c r="E49" s="23">
        <f t="shared" si="13"/>
        <v>0.05</v>
      </c>
      <c r="F49" s="718"/>
      <c r="G49" s="23">
        <f t="shared" si="14"/>
        <v>1</v>
      </c>
      <c r="H49" s="718"/>
      <c r="I49" s="23">
        <f t="shared" si="15"/>
        <v>1</v>
      </c>
      <c r="J49" s="718"/>
      <c r="K49" s="23">
        <f t="shared" si="16"/>
        <v>1</v>
      </c>
      <c r="L49" s="718"/>
      <c r="M49" s="23">
        <f t="shared" si="17"/>
        <v>1</v>
      </c>
      <c r="N49" s="718"/>
      <c r="O49" s="23">
        <f t="shared" si="18"/>
        <v>1</v>
      </c>
      <c r="P49" s="718"/>
      <c r="Q49" s="23">
        <f t="shared" si="19"/>
        <v>1</v>
      </c>
      <c r="R49" s="715">
        <f t="shared" si="20"/>
        <v>0</v>
      </c>
      <c r="S49" s="360">
        <f t="shared" si="11"/>
        <v>0</v>
      </c>
    </row>
    <row r="50" spans="1:19">
      <c r="A50" s="158"/>
      <c r="B50" s="58"/>
      <c r="C50" s="23">
        <f t="shared" si="12"/>
        <v>1</v>
      </c>
      <c r="D50" s="718"/>
      <c r="E50" s="23">
        <f t="shared" si="13"/>
        <v>0.05</v>
      </c>
      <c r="F50" s="718"/>
      <c r="G50" s="23">
        <f t="shared" si="14"/>
        <v>1</v>
      </c>
      <c r="H50" s="718"/>
      <c r="I50" s="23">
        <f t="shared" si="15"/>
        <v>1</v>
      </c>
      <c r="J50" s="718"/>
      <c r="K50" s="23">
        <f t="shared" si="16"/>
        <v>1</v>
      </c>
      <c r="L50" s="718"/>
      <c r="M50" s="23">
        <f t="shared" si="17"/>
        <v>1</v>
      </c>
      <c r="N50" s="718"/>
      <c r="O50" s="23">
        <f t="shared" si="18"/>
        <v>1</v>
      </c>
      <c r="P50" s="718"/>
      <c r="Q50" s="23">
        <f t="shared" si="19"/>
        <v>1</v>
      </c>
      <c r="R50" s="715">
        <f t="shared" si="20"/>
        <v>0</v>
      </c>
      <c r="S50" s="360">
        <f t="shared" si="11"/>
        <v>0</v>
      </c>
    </row>
    <row r="51" spans="1:19">
      <c r="A51" s="158"/>
      <c r="B51" s="58"/>
      <c r="C51" s="23">
        <f t="shared" si="12"/>
        <v>1</v>
      </c>
      <c r="D51" s="718"/>
      <c r="E51" s="23">
        <f t="shared" si="13"/>
        <v>0.05</v>
      </c>
      <c r="F51" s="718"/>
      <c r="G51" s="23">
        <f t="shared" si="14"/>
        <v>1</v>
      </c>
      <c r="H51" s="718"/>
      <c r="I51" s="23">
        <f t="shared" si="15"/>
        <v>1</v>
      </c>
      <c r="J51" s="718"/>
      <c r="K51" s="23">
        <f t="shared" si="16"/>
        <v>1</v>
      </c>
      <c r="L51" s="718"/>
      <c r="M51" s="23">
        <f t="shared" si="17"/>
        <v>1</v>
      </c>
      <c r="N51" s="718"/>
      <c r="O51" s="23">
        <f t="shared" si="18"/>
        <v>1</v>
      </c>
      <c r="P51" s="718"/>
      <c r="Q51" s="23">
        <f t="shared" si="19"/>
        <v>1</v>
      </c>
      <c r="R51" s="715">
        <f t="shared" si="20"/>
        <v>0</v>
      </c>
      <c r="S51" s="360">
        <f t="shared" si="11"/>
        <v>0</v>
      </c>
    </row>
    <row r="52" spans="1:19">
      <c r="A52" s="158"/>
      <c r="B52" s="58"/>
      <c r="C52" s="23">
        <f t="shared" si="12"/>
        <v>1</v>
      </c>
      <c r="D52" s="718"/>
      <c r="E52" s="23">
        <f t="shared" si="13"/>
        <v>0.05</v>
      </c>
      <c r="F52" s="718"/>
      <c r="G52" s="23">
        <f t="shared" si="14"/>
        <v>1</v>
      </c>
      <c r="H52" s="718"/>
      <c r="I52" s="23">
        <f t="shared" si="15"/>
        <v>1</v>
      </c>
      <c r="J52" s="718"/>
      <c r="K52" s="23">
        <f t="shared" si="16"/>
        <v>1</v>
      </c>
      <c r="L52" s="718"/>
      <c r="M52" s="23">
        <f t="shared" si="17"/>
        <v>1</v>
      </c>
      <c r="N52" s="718"/>
      <c r="O52" s="23">
        <f t="shared" si="18"/>
        <v>1</v>
      </c>
      <c r="P52" s="718"/>
      <c r="Q52" s="23">
        <f t="shared" si="19"/>
        <v>1</v>
      </c>
      <c r="R52" s="715">
        <f t="shared" si="20"/>
        <v>0</v>
      </c>
      <c r="S52" s="360">
        <f t="shared" si="11"/>
        <v>0</v>
      </c>
    </row>
    <row r="53" spans="1:19">
      <c r="A53" s="158"/>
      <c r="B53" s="58"/>
      <c r="C53" s="23">
        <f t="shared" si="12"/>
        <v>1</v>
      </c>
      <c r="D53" s="718"/>
      <c r="E53" s="23">
        <f t="shared" si="13"/>
        <v>0.05</v>
      </c>
      <c r="F53" s="718"/>
      <c r="G53" s="23">
        <f t="shared" si="14"/>
        <v>1</v>
      </c>
      <c r="H53" s="718"/>
      <c r="I53" s="23">
        <f t="shared" si="15"/>
        <v>1</v>
      </c>
      <c r="J53" s="718"/>
      <c r="K53" s="23">
        <f t="shared" si="16"/>
        <v>1</v>
      </c>
      <c r="L53" s="718"/>
      <c r="M53" s="23">
        <f t="shared" si="17"/>
        <v>1</v>
      </c>
      <c r="N53" s="718"/>
      <c r="O53" s="23">
        <f t="shared" si="18"/>
        <v>1</v>
      </c>
      <c r="P53" s="718"/>
      <c r="Q53" s="23">
        <f t="shared" si="19"/>
        <v>1</v>
      </c>
      <c r="R53" s="715">
        <f t="shared" si="20"/>
        <v>0</v>
      </c>
      <c r="S53" s="360">
        <f t="shared" si="11"/>
        <v>0</v>
      </c>
    </row>
    <row r="54" spans="1:19">
      <c r="A54" s="158"/>
      <c r="B54" s="58"/>
      <c r="C54" s="23">
        <f t="shared" si="12"/>
        <v>1</v>
      </c>
      <c r="D54" s="718"/>
      <c r="E54" s="23">
        <f t="shared" si="13"/>
        <v>0.05</v>
      </c>
      <c r="F54" s="718"/>
      <c r="G54" s="23">
        <f t="shared" si="14"/>
        <v>1</v>
      </c>
      <c r="H54" s="718"/>
      <c r="I54" s="23">
        <f t="shared" si="15"/>
        <v>1</v>
      </c>
      <c r="J54" s="718"/>
      <c r="K54" s="23">
        <f t="shared" si="16"/>
        <v>1</v>
      </c>
      <c r="L54" s="718"/>
      <c r="M54" s="23">
        <f t="shared" si="17"/>
        <v>1</v>
      </c>
      <c r="N54" s="718"/>
      <c r="O54" s="23">
        <f t="shared" si="18"/>
        <v>1</v>
      </c>
      <c r="P54" s="718"/>
      <c r="Q54" s="23">
        <f t="shared" si="19"/>
        <v>1</v>
      </c>
      <c r="R54" s="715">
        <f t="shared" si="20"/>
        <v>0</v>
      </c>
      <c r="S54" s="360">
        <f t="shared" si="11"/>
        <v>0</v>
      </c>
    </row>
    <row r="55" spans="1:19">
      <c r="A55" s="158"/>
      <c r="B55" s="58"/>
      <c r="C55" s="23">
        <f t="shared" si="12"/>
        <v>1</v>
      </c>
      <c r="D55" s="718"/>
      <c r="E55" s="23">
        <f t="shared" si="13"/>
        <v>0.05</v>
      </c>
      <c r="F55" s="718"/>
      <c r="G55" s="23">
        <f t="shared" si="14"/>
        <v>1</v>
      </c>
      <c r="H55" s="718"/>
      <c r="I55" s="23">
        <f t="shared" si="15"/>
        <v>1</v>
      </c>
      <c r="J55" s="718"/>
      <c r="K55" s="23">
        <f t="shared" si="16"/>
        <v>1</v>
      </c>
      <c r="L55" s="718"/>
      <c r="M55" s="23">
        <f t="shared" si="17"/>
        <v>1</v>
      </c>
      <c r="N55" s="718"/>
      <c r="O55" s="23">
        <f t="shared" si="18"/>
        <v>1</v>
      </c>
      <c r="P55" s="718"/>
      <c r="Q55" s="23">
        <f t="shared" si="19"/>
        <v>1</v>
      </c>
      <c r="R55" s="715">
        <f t="shared" si="20"/>
        <v>0</v>
      </c>
      <c r="S55" s="360">
        <f t="shared" ref="S55:S77" si="21">ROUND(R55*B55/10000,0)</f>
        <v>0</v>
      </c>
    </row>
    <row r="56" spans="1:19">
      <c r="A56" s="158"/>
      <c r="B56" s="58"/>
      <c r="C56" s="23">
        <f t="shared" si="12"/>
        <v>1</v>
      </c>
      <c r="D56" s="718"/>
      <c r="E56" s="23">
        <f t="shared" si="13"/>
        <v>0.05</v>
      </c>
      <c r="F56" s="718"/>
      <c r="G56" s="23">
        <f t="shared" si="14"/>
        <v>1</v>
      </c>
      <c r="H56" s="718"/>
      <c r="I56" s="23">
        <f t="shared" si="15"/>
        <v>1</v>
      </c>
      <c r="J56" s="718"/>
      <c r="K56" s="23">
        <f t="shared" si="16"/>
        <v>1</v>
      </c>
      <c r="L56" s="718"/>
      <c r="M56" s="23">
        <f t="shared" si="17"/>
        <v>1</v>
      </c>
      <c r="N56" s="718"/>
      <c r="O56" s="23">
        <f t="shared" si="18"/>
        <v>1</v>
      </c>
      <c r="P56" s="718"/>
      <c r="Q56" s="23">
        <f t="shared" si="19"/>
        <v>1</v>
      </c>
      <c r="R56" s="715">
        <f t="shared" si="20"/>
        <v>0</v>
      </c>
      <c r="S56" s="360">
        <f t="shared" si="21"/>
        <v>0</v>
      </c>
    </row>
    <row r="57" spans="1:19">
      <c r="A57" s="158"/>
      <c r="B57" s="58"/>
      <c r="C57" s="23">
        <f t="shared" si="12"/>
        <v>1</v>
      </c>
      <c r="D57" s="718"/>
      <c r="E57" s="23">
        <f t="shared" si="13"/>
        <v>0.05</v>
      </c>
      <c r="F57" s="718"/>
      <c r="G57" s="23">
        <f t="shared" si="14"/>
        <v>1</v>
      </c>
      <c r="H57" s="718"/>
      <c r="I57" s="23">
        <f t="shared" si="15"/>
        <v>1</v>
      </c>
      <c r="J57" s="718"/>
      <c r="K57" s="23">
        <f t="shared" si="16"/>
        <v>1</v>
      </c>
      <c r="L57" s="718"/>
      <c r="M57" s="23">
        <f t="shared" si="17"/>
        <v>1</v>
      </c>
      <c r="N57" s="718"/>
      <c r="O57" s="23">
        <f t="shared" si="18"/>
        <v>1</v>
      </c>
      <c r="P57" s="718"/>
      <c r="Q57" s="23">
        <f t="shared" si="19"/>
        <v>1</v>
      </c>
      <c r="R57" s="715">
        <f t="shared" si="20"/>
        <v>0</v>
      </c>
      <c r="S57" s="360">
        <f t="shared" si="21"/>
        <v>0</v>
      </c>
    </row>
    <row r="58" spans="1:19">
      <c r="A58" s="158"/>
      <c r="B58" s="58"/>
      <c r="C58" s="23">
        <f t="shared" si="12"/>
        <v>1</v>
      </c>
      <c r="D58" s="718"/>
      <c r="E58" s="23">
        <f t="shared" si="13"/>
        <v>0.05</v>
      </c>
      <c r="F58" s="718"/>
      <c r="G58" s="23">
        <f t="shared" si="14"/>
        <v>1</v>
      </c>
      <c r="H58" s="718"/>
      <c r="I58" s="23">
        <f t="shared" si="15"/>
        <v>1</v>
      </c>
      <c r="J58" s="718"/>
      <c r="K58" s="23">
        <f t="shared" si="16"/>
        <v>1</v>
      </c>
      <c r="L58" s="718"/>
      <c r="M58" s="23">
        <f t="shared" si="17"/>
        <v>1</v>
      </c>
      <c r="N58" s="718"/>
      <c r="O58" s="23">
        <f t="shared" si="18"/>
        <v>1</v>
      </c>
      <c r="P58" s="718"/>
      <c r="Q58" s="23">
        <f t="shared" si="19"/>
        <v>1</v>
      </c>
      <c r="R58" s="715">
        <f t="shared" si="20"/>
        <v>0</v>
      </c>
      <c r="S58" s="360">
        <f t="shared" si="21"/>
        <v>0</v>
      </c>
    </row>
    <row r="59" spans="1:19">
      <c r="A59" s="158"/>
      <c r="B59" s="58"/>
      <c r="C59" s="23">
        <f t="shared" si="12"/>
        <v>1</v>
      </c>
      <c r="D59" s="718"/>
      <c r="E59" s="23">
        <f t="shared" si="13"/>
        <v>0.05</v>
      </c>
      <c r="F59" s="718"/>
      <c r="G59" s="23">
        <f t="shared" si="14"/>
        <v>1</v>
      </c>
      <c r="H59" s="718"/>
      <c r="I59" s="23">
        <f t="shared" si="15"/>
        <v>1</v>
      </c>
      <c r="J59" s="718"/>
      <c r="K59" s="23">
        <f t="shared" si="16"/>
        <v>1</v>
      </c>
      <c r="L59" s="718"/>
      <c r="M59" s="23">
        <f t="shared" si="17"/>
        <v>1</v>
      </c>
      <c r="N59" s="718"/>
      <c r="O59" s="23">
        <f t="shared" si="18"/>
        <v>1</v>
      </c>
      <c r="P59" s="718"/>
      <c r="Q59" s="23">
        <f t="shared" si="19"/>
        <v>1</v>
      </c>
      <c r="R59" s="715">
        <f t="shared" si="20"/>
        <v>0</v>
      </c>
      <c r="S59" s="360">
        <f t="shared" si="21"/>
        <v>0</v>
      </c>
    </row>
    <row r="60" spans="1:19">
      <c r="A60" s="158"/>
      <c r="B60" s="58"/>
      <c r="C60" s="23">
        <f t="shared" si="12"/>
        <v>1</v>
      </c>
      <c r="D60" s="718"/>
      <c r="E60" s="23">
        <f t="shared" si="13"/>
        <v>0.05</v>
      </c>
      <c r="F60" s="718"/>
      <c r="G60" s="23">
        <f t="shared" si="14"/>
        <v>1</v>
      </c>
      <c r="H60" s="718"/>
      <c r="I60" s="23">
        <f t="shared" si="15"/>
        <v>1</v>
      </c>
      <c r="J60" s="718"/>
      <c r="K60" s="23">
        <f t="shared" si="16"/>
        <v>1</v>
      </c>
      <c r="L60" s="718"/>
      <c r="M60" s="23">
        <f t="shared" si="17"/>
        <v>1</v>
      </c>
      <c r="N60" s="718"/>
      <c r="O60" s="23">
        <f t="shared" si="18"/>
        <v>1</v>
      </c>
      <c r="P60" s="718"/>
      <c r="Q60" s="23">
        <f t="shared" si="19"/>
        <v>1</v>
      </c>
      <c r="R60" s="715">
        <f t="shared" si="20"/>
        <v>0</v>
      </c>
      <c r="S60" s="360">
        <f t="shared" si="21"/>
        <v>0</v>
      </c>
    </row>
    <row r="61" spans="1:19">
      <c r="A61" s="158"/>
      <c r="B61" s="58"/>
      <c r="C61" s="23">
        <f t="shared" si="12"/>
        <v>1</v>
      </c>
      <c r="D61" s="718"/>
      <c r="E61" s="23">
        <f t="shared" si="13"/>
        <v>0.05</v>
      </c>
      <c r="F61" s="718"/>
      <c r="G61" s="23">
        <f t="shared" si="14"/>
        <v>1</v>
      </c>
      <c r="H61" s="718"/>
      <c r="I61" s="23">
        <f t="shared" si="15"/>
        <v>1</v>
      </c>
      <c r="J61" s="718"/>
      <c r="K61" s="23">
        <f t="shared" si="16"/>
        <v>1</v>
      </c>
      <c r="L61" s="718"/>
      <c r="M61" s="23">
        <f t="shared" si="17"/>
        <v>1</v>
      </c>
      <c r="N61" s="718"/>
      <c r="O61" s="23">
        <f t="shared" si="18"/>
        <v>1</v>
      </c>
      <c r="P61" s="718"/>
      <c r="Q61" s="23">
        <f t="shared" si="19"/>
        <v>1</v>
      </c>
      <c r="R61" s="715">
        <f t="shared" si="20"/>
        <v>0</v>
      </c>
      <c r="S61" s="360">
        <f t="shared" si="21"/>
        <v>0</v>
      </c>
    </row>
    <row r="62" spans="1:19">
      <c r="A62" s="158"/>
      <c r="B62" s="58"/>
      <c r="C62" s="23">
        <f t="shared" si="12"/>
        <v>1</v>
      </c>
      <c r="D62" s="718"/>
      <c r="E62" s="23">
        <f t="shared" si="13"/>
        <v>0.05</v>
      </c>
      <c r="F62" s="718"/>
      <c r="G62" s="23">
        <f t="shared" si="14"/>
        <v>1</v>
      </c>
      <c r="H62" s="718"/>
      <c r="I62" s="23">
        <f t="shared" si="15"/>
        <v>1</v>
      </c>
      <c r="J62" s="718"/>
      <c r="K62" s="23">
        <f t="shared" si="16"/>
        <v>1</v>
      </c>
      <c r="L62" s="718"/>
      <c r="M62" s="23">
        <f t="shared" si="17"/>
        <v>1</v>
      </c>
      <c r="N62" s="718"/>
      <c r="O62" s="23">
        <f t="shared" si="18"/>
        <v>1</v>
      </c>
      <c r="P62" s="718"/>
      <c r="Q62" s="23">
        <f t="shared" si="19"/>
        <v>1</v>
      </c>
      <c r="R62" s="715">
        <f t="shared" si="20"/>
        <v>0</v>
      </c>
      <c r="S62" s="360">
        <f t="shared" si="21"/>
        <v>0</v>
      </c>
    </row>
    <row r="63" spans="1:19">
      <c r="A63" s="158"/>
      <c r="B63" s="58"/>
      <c r="C63" s="23">
        <f t="shared" si="12"/>
        <v>1</v>
      </c>
      <c r="D63" s="718"/>
      <c r="E63" s="23">
        <f t="shared" si="13"/>
        <v>0.05</v>
      </c>
      <c r="F63" s="718"/>
      <c r="G63" s="23">
        <f t="shared" si="14"/>
        <v>1</v>
      </c>
      <c r="H63" s="718"/>
      <c r="I63" s="23">
        <f t="shared" si="15"/>
        <v>1</v>
      </c>
      <c r="J63" s="718"/>
      <c r="K63" s="23">
        <f t="shared" si="16"/>
        <v>1</v>
      </c>
      <c r="L63" s="718"/>
      <c r="M63" s="23">
        <f t="shared" si="17"/>
        <v>1</v>
      </c>
      <c r="N63" s="718"/>
      <c r="O63" s="23">
        <f t="shared" si="18"/>
        <v>1</v>
      </c>
      <c r="P63" s="718"/>
      <c r="Q63" s="23">
        <f t="shared" si="19"/>
        <v>1</v>
      </c>
      <c r="R63" s="715">
        <f t="shared" si="20"/>
        <v>0</v>
      </c>
      <c r="S63" s="360">
        <f t="shared" si="21"/>
        <v>0</v>
      </c>
    </row>
    <row r="64" spans="1:19">
      <c r="A64" s="158"/>
      <c r="B64" s="58"/>
      <c r="C64" s="23">
        <f t="shared" si="12"/>
        <v>1</v>
      </c>
      <c r="D64" s="718"/>
      <c r="E64" s="23">
        <f t="shared" si="13"/>
        <v>0.05</v>
      </c>
      <c r="F64" s="718"/>
      <c r="G64" s="23">
        <f t="shared" si="14"/>
        <v>1</v>
      </c>
      <c r="H64" s="718"/>
      <c r="I64" s="23">
        <f t="shared" si="15"/>
        <v>1</v>
      </c>
      <c r="J64" s="718"/>
      <c r="K64" s="23">
        <f t="shared" si="16"/>
        <v>1</v>
      </c>
      <c r="L64" s="718"/>
      <c r="M64" s="23">
        <f t="shared" si="17"/>
        <v>1</v>
      </c>
      <c r="N64" s="718"/>
      <c r="O64" s="23">
        <f t="shared" si="18"/>
        <v>1</v>
      </c>
      <c r="P64" s="718"/>
      <c r="Q64" s="23">
        <f t="shared" si="19"/>
        <v>1</v>
      </c>
      <c r="R64" s="715">
        <f t="shared" si="20"/>
        <v>0</v>
      </c>
      <c r="S64" s="360">
        <f t="shared" si="21"/>
        <v>0</v>
      </c>
    </row>
    <row r="65" spans="1:19">
      <c r="A65" s="158"/>
      <c r="B65" s="58"/>
      <c r="C65" s="23">
        <f t="shared" si="12"/>
        <v>1</v>
      </c>
      <c r="D65" s="718"/>
      <c r="E65" s="23">
        <f t="shared" si="13"/>
        <v>0.05</v>
      </c>
      <c r="F65" s="718"/>
      <c r="G65" s="23">
        <f t="shared" si="14"/>
        <v>1</v>
      </c>
      <c r="H65" s="718"/>
      <c r="I65" s="23">
        <f t="shared" si="15"/>
        <v>1</v>
      </c>
      <c r="J65" s="718"/>
      <c r="K65" s="23">
        <f t="shared" si="16"/>
        <v>1</v>
      </c>
      <c r="L65" s="718"/>
      <c r="M65" s="23">
        <f t="shared" si="17"/>
        <v>1</v>
      </c>
      <c r="N65" s="718"/>
      <c r="O65" s="23">
        <f t="shared" si="18"/>
        <v>1</v>
      </c>
      <c r="P65" s="718"/>
      <c r="Q65" s="23">
        <f t="shared" si="19"/>
        <v>1</v>
      </c>
      <c r="R65" s="715">
        <f t="shared" si="20"/>
        <v>0</v>
      </c>
      <c r="S65" s="360">
        <f t="shared" si="21"/>
        <v>0</v>
      </c>
    </row>
    <row r="66" spans="1:19">
      <c r="A66" s="158"/>
      <c r="B66" s="58"/>
      <c r="C66" s="23">
        <f t="shared" si="12"/>
        <v>1</v>
      </c>
      <c r="D66" s="718"/>
      <c r="E66" s="23">
        <f t="shared" si="13"/>
        <v>0.05</v>
      </c>
      <c r="F66" s="718"/>
      <c r="G66" s="23">
        <f t="shared" si="14"/>
        <v>1</v>
      </c>
      <c r="H66" s="718"/>
      <c r="I66" s="23">
        <f t="shared" si="15"/>
        <v>1</v>
      </c>
      <c r="J66" s="718"/>
      <c r="K66" s="23">
        <f t="shared" si="16"/>
        <v>1</v>
      </c>
      <c r="L66" s="718"/>
      <c r="M66" s="23">
        <f t="shared" si="17"/>
        <v>1</v>
      </c>
      <c r="N66" s="718"/>
      <c r="O66" s="23">
        <f t="shared" si="18"/>
        <v>1</v>
      </c>
      <c r="P66" s="718"/>
      <c r="Q66" s="23">
        <f t="shared" si="19"/>
        <v>1</v>
      </c>
      <c r="R66" s="715">
        <f t="shared" si="20"/>
        <v>0</v>
      </c>
      <c r="S66" s="360">
        <f t="shared" si="21"/>
        <v>0</v>
      </c>
    </row>
    <row r="67" spans="1:19">
      <c r="A67" s="158"/>
      <c r="B67" s="58"/>
      <c r="C67" s="23">
        <f t="shared" si="12"/>
        <v>1</v>
      </c>
      <c r="D67" s="718"/>
      <c r="E67" s="23">
        <f t="shared" si="13"/>
        <v>0.05</v>
      </c>
      <c r="F67" s="718"/>
      <c r="G67" s="23">
        <f t="shared" si="14"/>
        <v>1</v>
      </c>
      <c r="H67" s="718"/>
      <c r="I67" s="23">
        <f t="shared" si="15"/>
        <v>1</v>
      </c>
      <c r="J67" s="718"/>
      <c r="K67" s="23">
        <f t="shared" si="16"/>
        <v>1</v>
      </c>
      <c r="L67" s="718"/>
      <c r="M67" s="23">
        <f t="shared" si="17"/>
        <v>1</v>
      </c>
      <c r="N67" s="718"/>
      <c r="O67" s="23">
        <f t="shared" si="18"/>
        <v>1</v>
      </c>
      <c r="P67" s="718"/>
      <c r="Q67" s="23">
        <f t="shared" si="19"/>
        <v>1</v>
      </c>
      <c r="R67" s="715">
        <f t="shared" si="20"/>
        <v>0</v>
      </c>
      <c r="S67" s="360">
        <f t="shared" si="21"/>
        <v>0</v>
      </c>
    </row>
    <row r="68" spans="1:19">
      <c r="A68" s="158"/>
      <c r="B68" s="58"/>
      <c r="C68" s="23">
        <f t="shared" si="12"/>
        <v>1</v>
      </c>
      <c r="D68" s="718"/>
      <c r="E68" s="23">
        <f t="shared" si="13"/>
        <v>0.05</v>
      </c>
      <c r="F68" s="718"/>
      <c r="G68" s="23">
        <f t="shared" si="14"/>
        <v>1</v>
      </c>
      <c r="H68" s="718"/>
      <c r="I68" s="23">
        <f t="shared" si="15"/>
        <v>1</v>
      </c>
      <c r="J68" s="718"/>
      <c r="K68" s="23">
        <f t="shared" si="16"/>
        <v>1</v>
      </c>
      <c r="L68" s="718"/>
      <c r="M68" s="23">
        <f t="shared" si="17"/>
        <v>1</v>
      </c>
      <c r="N68" s="718"/>
      <c r="O68" s="23">
        <f t="shared" si="18"/>
        <v>1</v>
      </c>
      <c r="P68" s="718"/>
      <c r="Q68" s="23">
        <f t="shared" si="19"/>
        <v>1</v>
      </c>
      <c r="R68" s="715">
        <f t="shared" si="20"/>
        <v>0</v>
      </c>
      <c r="S68" s="360">
        <f t="shared" si="21"/>
        <v>0</v>
      </c>
    </row>
    <row r="69" spans="1:19">
      <c r="A69" s="158"/>
      <c r="B69" s="58"/>
      <c r="C69" s="23">
        <f t="shared" si="12"/>
        <v>1</v>
      </c>
      <c r="D69" s="718"/>
      <c r="E69" s="23">
        <f t="shared" si="13"/>
        <v>0.05</v>
      </c>
      <c r="F69" s="718"/>
      <c r="G69" s="23">
        <f t="shared" si="14"/>
        <v>1</v>
      </c>
      <c r="H69" s="718"/>
      <c r="I69" s="23">
        <f t="shared" si="15"/>
        <v>1</v>
      </c>
      <c r="J69" s="718"/>
      <c r="K69" s="23">
        <f t="shared" si="16"/>
        <v>1</v>
      </c>
      <c r="L69" s="718"/>
      <c r="M69" s="23">
        <f t="shared" si="17"/>
        <v>1</v>
      </c>
      <c r="N69" s="718"/>
      <c r="O69" s="23">
        <f t="shared" si="18"/>
        <v>1</v>
      </c>
      <c r="P69" s="718"/>
      <c r="Q69" s="23">
        <f t="shared" si="19"/>
        <v>1</v>
      </c>
      <c r="R69" s="715">
        <f t="shared" si="20"/>
        <v>0</v>
      </c>
      <c r="S69" s="360">
        <f t="shared" si="21"/>
        <v>0</v>
      </c>
    </row>
    <row r="70" spans="1:19">
      <c r="A70" s="158"/>
      <c r="B70" s="58"/>
      <c r="C70" s="23">
        <f t="shared" si="12"/>
        <v>1</v>
      </c>
      <c r="D70" s="718"/>
      <c r="E70" s="23">
        <f t="shared" si="13"/>
        <v>0.05</v>
      </c>
      <c r="F70" s="718"/>
      <c r="G70" s="23">
        <f t="shared" si="14"/>
        <v>1</v>
      </c>
      <c r="H70" s="718"/>
      <c r="I70" s="23">
        <f t="shared" si="15"/>
        <v>1</v>
      </c>
      <c r="J70" s="718"/>
      <c r="K70" s="23">
        <f t="shared" si="16"/>
        <v>1</v>
      </c>
      <c r="L70" s="718"/>
      <c r="M70" s="23">
        <f t="shared" si="17"/>
        <v>1</v>
      </c>
      <c r="N70" s="718"/>
      <c r="O70" s="23">
        <f t="shared" si="18"/>
        <v>1</v>
      </c>
      <c r="P70" s="718"/>
      <c r="Q70" s="23">
        <f t="shared" si="19"/>
        <v>1</v>
      </c>
      <c r="R70" s="715">
        <f t="shared" si="20"/>
        <v>0</v>
      </c>
      <c r="S70" s="360">
        <f t="shared" si="21"/>
        <v>0</v>
      </c>
    </row>
    <row r="71" spans="1:19">
      <c r="A71" s="158"/>
      <c r="B71" s="58"/>
      <c r="C71" s="23">
        <f t="shared" si="12"/>
        <v>1</v>
      </c>
      <c r="D71" s="718"/>
      <c r="E71" s="23">
        <f t="shared" si="13"/>
        <v>0.05</v>
      </c>
      <c r="F71" s="718"/>
      <c r="G71" s="23">
        <f t="shared" si="14"/>
        <v>1</v>
      </c>
      <c r="H71" s="718"/>
      <c r="I71" s="23">
        <f t="shared" si="15"/>
        <v>1</v>
      </c>
      <c r="J71" s="718"/>
      <c r="K71" s="23">
        <f t="shared" si="16"/>
        <v>1</v>
      </c>
      <c r="L71" s="718"/>
      <c r="M71" s="23">
        <f t="shared" si="17"/>
        <v>1</v>
      </c>
      <c r="N71" s="718"/>
      <c r="O71" s="23">
        <f t="shared" si="18"/>
        <v>1</v>
      </c>
      <c r="P71" s="718"/>
      <c r="Q71" s="23">
        <f t="shared" si="19"/>
        <v>1</v>
      </c>
      <c r="R71" s="715">
        <f t="shared" si="20"/>
        <v>0</v>
      </c>
      <c r="S71" s="360">
        <f t="shared" si="21"/>
        <v>0</v>
      </c>
    </row>
    <row r="72" spans="1:19">
      <c r="A72" s="158"/>
      <c r="B72" s="58"/>
      <c r="C72" s="23">
        <f t="shared" si="12"/>
        <v>1</v>
      </c>
      <c r="D72" s="718"/>
      <c r="E72" s="23">
        <f t="shared" si="13"/>
        <v>0.05</v>
      </c>
      <c r="F72" s="718"/>
      <c r="G72" s="23">
        <f t="shared" si="14"/>
        <v>1</v>
      </c>
      <c r="H72" s="718"/>
      <c r="I72" s="23">
        <f t="shared" si="15"/>
        <v>1</v>
      </c>
      <c r="J72" s="718"/>
      <c r="K72" s="23">
        <f t="shared" si="16"/>
        <v>1</v>
      </c>
      <c r="L72" s="718"/>
      <c r="M72" s="23">
        <f t="shared" si="17"/>
        <v>1</v>
      </c>
      <c r="N72" s="718"/>
      <c r="O72" s="23">
        <f t="shared" si="18"/>
        <v>1</v>
      </c>
      <c r="P72" s="718"/>
      <c r="Q72" s="23">
        <f t="shared" si="19"/>
        <v>1</v>
      </c>
      <c r="R72" s="715">
        <f t="shared" si="20"/>
        <v>0</v>
      </c>
      <c r="S72" s="360">
        <f t="shared" si="21"/>
        <v>0</v>
      </c>
    </row>
    <row r="73" spans="1:19">
      <c r="A73" s="158"/>
      <c r="B73" s="58"/>
      <c r="C73" s="23">
        <f t="shared" si="12"/>
        <v>1</v>
      </c>
      <c r="D73" s="718"/>
      <c r="E73" s="23">
        <f t="shared" si="13"/>
        <v>0.05</v>
      </c>
      <c r="F73" s="718"/>
      <c r="G73" s="23">
        <f t="shared" si="14"/>
        <v>1</v>
      </c>
      <c r="H73" s="718"/>
      <c r="I73" s="23">
        <f t="shared" si="15"/>
        <v>1</v>
      </c>
      <c r="J73" s="718"/>
      <c r="K73" s="23">
        <f t="shared" si="16"/>
        <v>1</v>
      </c>
      <c r="L73" s="718"/>
      <c r="M73" s="23">
        <f t="shared" si="17"/>
        <v>1</v>
      </c>
      <c r="N73" s="718"/>
      <c r="O73" s="23">
        <f t="shared" si="18"/>
        <v>1</v>
      </c>
      <c r="P73" s="718"/>
      <c r="Q73" s="23">
        <f t="shared" si="19"/>
        <v>1</v>
      </c>
      <c r="R73" s="715">
        <f t="shared" si="20"/>
        <v>0</v>
      </c>
      <c r="S73" s="360">
        <f t="shared" si="21"/>
        <v>0</v>
      </c>
    </row>
    <row r="74" spans="1:19">
      <c r="A74" s="158"/>
      <c r="B74" s="58"/>
      <c r="C74" s="23">
        <f t="shared" si="12"/>
        <v>1</v>
      </c>
      <c r="D74" s="718"/>
      <c r="E74" s="23">
        <f t="shared" si="13"/>
        <v>0.05</v>
      </c>
      <c r="F74" s="718"/>
      <c r="G74" s="23">
        <f t="shared" si="14"/>
        <v>1</v>
      </c>
      <c r="H74" s="718"/>
      <c r="I74" s="23">
        <f t="shared" si="15"/>
        <v>1</v>
      </c>
      <c r="J74" s="718"/>
      <c r="K74" s="23">
        <f t="shared" si="16"/>
        <v>1</v>
      </c>
      <c r="L74" s="718"/>
      <c r="M74" s="23">
        <f t="shared" si="17"/>
        <v>1</v>
      </c>
      <c r="N74" s="718"/>
      <c r="O74" s="23">
        <f t="shared" si="18"/>
        <v>1</v>
      </c>
      <c r="P74" s="718"/>
      <c r="Q74" s="23">
        <f t="shared" si="19"/>
        <v>1</v>
      </c>
      <c r="R74" s="715">
        <f t="shared" si="20"/>
        <v>0</v>
      </c>
      <c r="S74" s="360">
        <f t="shared" si="21"/>
        <v>0</v>
      </c>
    </row>
    <row r="75" spans="1:19">
      <c r="A75" s="158"/>
      <c r="B75" s="58"/>
      <c r="C75" s="23">
        <f t="shared" si="12"/>
        <v>1</v>
      </c>
      <c r="D75" s="718"/>
      <c r="E75" s="23">
        <f t="shared" si="13"/>
        <v>0.05</v>
      </c>
      <c r="F75" s="718"/>
      <c r="G75" s="23">
        <f t="shared" si="14"/>
        <v>1</v>
      </c>
      <c r="H75" s="718"/>
      <c r="I75" s="23">
        <f t="shared" si="15"/>
        <v>1</v>
      </c>
      <c r="J75" s="718"/>
      <c r="K75" s="23">
        <f t="shared" si="16"/>
        <v>1</v>
      </c>
      <c r="L75" s="718"/>
      <c r="M75" s="23">
        <f t="shared" si="17"/>
        <v>1</v>
      </c>
      <c r="N75" s="718"/>
      <c r="O75" s="23">
        <f t="shared" si="18"/>
        <v>1</v>
      </c>
      <c r="P75" s="718"/>
      <c r="Q75" s="23">
        <f t="shared" si="19"/>
        <v>1</v>
      </c>
      <c r="R75" s="715">
        <f t="shared" si="20"/>
        <v>0</v>
      </c>
      <c r="S75" s="360">
        <f t="shared" si="21"/>
        <v>0</v>
      </c>
    </row>
    <row r="76" spans="1:19">
      <c r="A76" s="158"/>
      <c r="B76" s="58"/>
      <c r="C76" s="23">
        <f t="shared" si="12"/>
        <v>1</v>
      </c>
      <c r="D76" s="718"/>
      <c r="E76" s="23">
        <f t="shared" si="13"/>
        <v>0.05</v>
      </c>
      <c r="F76" s="718"/>
      <c r="G76" s="23">
        <f t="shared" si="14"/>
        <v>1</v>
      </c>
      <c r="H76" s="718"/>
      <c r="I76" s="23">
        <f t="shared" si="15"/>
        <v>1</v>
      </c>
      <c r="J76" s="718"/>
      <c r="K76" s="23">
        <f t="shared" si="16"/>
        <v>1</v>
      </c>
      <c r="L76" s="718"/>
      <c r="M76" s="23">
        <f t="shared" si="17"/>
        <v>1</v>
      </c>
      <c r="N76" s="718"/>
      <c r="O76" s="23">
        <f t="shared" si="18"/>
        <v>1</v>
      </c>
      <c r="P76" s="718"/>
      <c r="Q76" s="23">
        <f t="shared" si="19"/>
        <v>1</v>
      </c>
      <c r="R76" s="715">
        <f t="shared" si="20"/>
        <v>0</v>
      </c>
      <c r="S76" s="360">
        <f t="shared" si="21"/>
        <v>0</v>
      </c>
    </row>
    <row r="77" spans="1:19">
      <c r="A77" s="158"/>
      <c r="B77" s="58"/>
      <c r="C77" s="23">
        <f t="shared" si="12"/>
        <v>1</v>
      </c>
      <c r="D77" s="718"/>
      <c r="E77" s="23">
        <f t="shared" si="13"/>
        <v>0.05</v>
      </c>
      <c r="F77" s="718"/>
      <c r="G77" s="23">
        <f t="shared" si="14"/>
        <v>1</v>
      </c>
      <c r="H77" s="718"/>
      <c r="I77" s="23">
        <f t="shared" si="15"/>
        <v>1</v>
      </c>
      <c r="J77" s="718"/>
      <c r="K77" s="23">
        <f t="shared" si="16"/>
        <v>1</v>
      </c>
      <c r="L77" s="718"/>
      <c r="M77" s="23">
        <f t="shared" si="17"/>
        <v>1</v>
      </c>
      <c r="N77" s="718"/>
      <c r="O77" s="23">
        <f t="shared" si="18"/>
        <v>1</v>
      </c>
      <c r="P77" s="718"/>
      <c r="Q77" s="23">
        <f t="shared" si="19"/>
        <v>1</v>
      </c>
      <c r="R77" s="715">
        <f t="shared" si="20"/>
        <v>0</v>
      </c>
      <c r="S77" s="360">
        <f t="shared" si="21"/>
        <v>0</v>
      </c>
    </row>
    <row r="78" spans="1:19">
      <c r="A78" s="158"/>
      <c r="B78" s="58"/>
      <c r="C78" s="23">
        <f t="shared" si="12"/>
        <v>1</v>
      </c>
      <c r="D78" s="718"/>
      <c r="E78" s="23">
        <f t="shared" si="13"/>
        <v>0.05</v>
      </c>
      <c r="F78" s="718"/>
      <c r="G78" s="23">
        <f t="shared" si="14"/>
        <v>1</v>
      </c>
      <c r="H78" s="718"/>
      <c r="I78" s="23">
        <f t="shared" si="15"/>
        <v>1</v>
      </c>
      <c r="J78" s="718"/>
      <c r="K78" s="23">
        <f t="shared" si="16"/>
        <v>1</v>
      </c>
      <c r="L78" s="718"/>
      <c r="M78" s="23">
        <f t="shared" si="17"/>
        <v>1</v>
      </c>
      <c r="N78" s="718"/>
      <c r="O78" s="23">
        <f t="shared" si="18"/>
        <v>1</v>
      </c>
      <c r="P78" s="718"/>
      <c r="Q78" s="23">
        <f t="shared" si="19"/>
        <v>1</v>
      </c>
      <c r="R78" s="715">
        <f t="shared" si="20"/>
        <v>0</v>
      </c>
      <c r="S78" s="360">
        <f t="shared" ref="S78:S122" si="22">ROUND(R78*B78/10000,0)</f>
        <v>0</v>
      </c>
    </row>
    <row r="79" spans="1:19">
      <c r="A79" s="158"/>
      <c r="B79" s="58"/>
      <c r="C79" s="23">
        <f t="shared" si="12"/>
        <v>1</v>
      </c>
      <c r="D79" s="718"/>
      <c r="E79" s="23">
        <f t="shared" si="13"/>
        <v>0.05</v>
      </c>
      <c r="F79" s="718"/>
      <c r="G79" s="23">
        <f t="shared" si="14"/>
        <v>1</v>
      </c>
      <c r="H79" s="718"/>
      <c r="I79" s="23">
        <f t="shared" si="15"/>
        <v>1</v>
      </c>
      <c r="J79" s="718"/>
      <c r="K79" s="23">
        <f t="shared" si="16"/>
        <v>1</v>
      </c>
      <c r="L79" s="718"/>
      <c r="M79" s="23">
        <f t="shared" si="17"/>
        <v>1</v>
      </c>
      <c r="N79" s="718"/>
      <c r="O79" s="23">
        <f t="shared" si="18"/>
        <v>1</v>
      </c>
      <c r="P79" s="718"/>
      <c r="Q79" s="23">
        <f t="shared" si="19"/>
        <v>1</v>
      </c>
      <c r="R79" s="715">
        <f t="shared" si="20"/>
        <v>0</v>
      </c>
      <c r="S79" s="360">
        <f t="shared" si="22"/>
        <v>0</v>
      </c>
    </row>
    <row r="80" spans="1:19">
      <c r="A80" s="158"/>
      <c r="B80" s="58"/>
      <c r="C80" s="23">
        <f t="shared" si="12"/>
        <v>1</v>
      </c>
      <c r="D80" s="718"/>
      <c r="E80" s="23">
        <f t="shared" si="13"/>
        <v>0.05</v>
      </c>
      <c r="F80" s="718"/>
      <c r="G80" s="23">
        <f t="shared" si="14"/>
        <v>1</v>
      </c>
      <c r="H80" s="718"/>
      <c r="I80" s="23">
        <f t="shared" si="15"/>
        <v>1</v>
      </c>
      <c r="J80" s="718"/>
      <c r="K80" s="23">
        <f t="shared" si="16"/>
        <v>1</v>
      </c>
      <c r="L80" s="718"/>
      <c r="M80" s="23">
        <f t="shared" si="17"/>
        <v>1</v>
      </c>
      <c r="N80" s="718"/>
      <c r="O80" s="23">
        <f t="shared" si="18"/>
        <v>1</v>
      </c>
      <c r="P80" s="718"/>
      <c r="Q80" s="23">
        <f t="shared" si="19"/>
        <v>1</v>
      </c>
      <c r="R80" s="715">
        <f t="shared" si="20"/>
        <v>0</v>
      </c>
      <c r="S80" s="360">
        <f t="shared" si="22"/>
        <v>0</v>
      </c>
    </row>
    <row r="81" spans="1:19">
      <c r="A81" s="158"/>
      <c r="B81" s="58"/>
      <c r="C81" s="23">
        <f t="shared" si="12"/>
        <v>1</v>
      </c>
      <c r="D81" s="718"/>
      <c r="E81" s="23">
        <f t="shared" si="13"/>
        <v>0.05</v>
      </c>
      <c r="F81" s="718"/>
      <c r="G81" s="23">
        <f t="shared" si="14"/>
        <v>1</v>
      </c>
      <c r="H81" s="718"/>
      <c r="I81" s="23">
        <f t="shared" si="15"/>
        <v>1</v>
      </c>
      <c r="J81" s="718"/>
      <c r="K81" s="23">
        <f t="shared" si="16"/>
        <v>1</v>
      </c>
      <c r="L81" s="718"/>
      <c r="M81" s="23">
        <f t="shared" si="17"/>
        <v>1</v>
      </c>
      <c r="N81" s="718"/>
      <c r="O81" s="23">
        <f t="shared" si="18"/>
        <v>1</v>
      </c>
      <c r="P81" s="718"/>
      <c r="Q81" s="23">
        <f t="shared" si="19"/>
        <v>1</v>
      </c>
      <c r="R81" s="715">
        <f t="shared" si="20"/>
        <v>0</v>
      </c>
      <c r="S81" s="360">
        <f t="shared" si="22"/>
        <v>0</v>
      </c>
    </row>
    <row r="82" spans="1:19">
      <c r="A82" s="158"/>
      <c r="B82" s="58"/>
      <c r="C82" s="23">
        <f t="shared" si="12"/>
        <v>1</v>
      </c>
      <c r="D82" s="718"/>
      <c r="E82" s="23">
        <f t="shared" si="13"/>
        <v>0.05</v>
      </c>
      <c r="F82" s="718"/>
      <c r="G82" s="23">
        <f t="shared" si="14"/>
        <v>1</v>
      </c>
      <c r="H82" s="718"/>
      <c r="I82" s="23">
        <f t="shared" si="15"/>
        <v>1</v>
      </c>
      <c r="J82" s="718"/>
      <c r="K82" s="23">
        <f t="shared" si="16"/>
        <v>1</v>
      </c>
      <c r="L82" s="718"/>
      <c r="M82" s="23">
        <f t="shared" si="17"/>
        <v>1</v>
      </c>
      <c r="N82" s="718"/>
      <c r="O82" s="23">
        <f t="shared" si="18"/>
        <v>1</v>
      </c>
      <c r="P82" s="718"/>
      <c r="Q82" s="23">
        <f t="shared" si="19"/>
        <v>1</v>
      </c>
      <c r="R82" s="715">
        <f t="shared" si="20"/>
        <v>0</v>
      </c>
      <c r="S82" s="360">
        <f t="shared" si="22"/>
        <v>0</v>
      </c>
    </row>
    <row r="83" spans="1:19">
      <c r="A83" s="158"/>
      <c r="B83" s="58"/>
      <c r="C83" s="23">
        <f t="shared" si="12"/>
        <v>1</v>
      </c>
      <c r="D83" s="718"/>
      <c r="E83" s="23">
        <f t="shared" si="13"/>
        <v>0.05</v>
      </c>
      <c r="F83" s="718"/>
      <c r="G83" s="23">
        <f t="shared" si="14"/>
        <v>1</v>
      </c>
      <c r="H83" s="718"/>
      <c r="I83" s="23">
        <f t="shared" si="15"/>
        <v>1</v>
      </c>
      <c r="J83" s="718"/>
      <c r="K83" s="23">
        <f t="shared" si="16"/>
        <v>1</v>
      </c>
      <c r="L83" s="718"/>
      <c r="M83" s="23">
        <f t="shared" si="17"/>
        <v>1</v>
      </c>
      <c r="N83" s="718"/>
      <c r="O83" s="23">
        <f t="shared" si="18"/>
        <v>1</v>
      </c>
      <c r="P83" s="718"/>
      <c r="Q83" s="23">
        <f t="shared" si="19"/>
        <v>1</v>
      </c>
      <c r="R83" s="715">
        <f t="shared" si="20"/>
        <v>0</v>
      </c>
      <c r="S83" s="360">
        <f t="shared" si="22"/>
        <v>0</v>
      </c>
    </row>
    <row r="84" spans="1:19">
      <c r="A84" s="158"/>
      <c r="B84" s="58"/>
      <c r="C84" s="23">
        <f t="shared" si="12"/>
        <v>1</v>
      </c>
      <c r="D84" s="718"/>
      <c r="E84" s="23">
        <f t="shared" si="13"/>
        <v>0.05</v>
      </c>
      <c r="F84" s="718"/>
      <c r="G84" s="23">
        <f t="shared" si="14"/>
        <v>1</v>
      </c>
      <c r="H84" s="718"/>
      <c r="I84" s="23">
        <f t="shared" si="15"/>
        <v>1</v>
      </c>
      <c r="J84" s="718"/>
      <c r="K84" s="23">
        <f t="shared" si="16"/>
        <v>1</v>
      </c>
      <c r="L84" s="718"/>
      <c r="M84" s="23">
        <f t="shared" si="17"/>
        <v>1</v>
      </c>
      <c r="N84" s="718"/>
      <c r="O84" s="23">
        <f t="shared" si="18"/>
        <v>1</v>
      </c>
      <c r="P84" s="718"/>
      <c r="Q84" s="23">
        <f t="shared" si="19"/>
        <v>1</v>
      </c>
      <c r="R84" s="715">
        <f t="shared" si="20"/>
        <v>0</v>
      </c>
      <c r="S84" s="360">
        <f t="shared" si="22"/>
        <v>0</v>
      </c>
    </row>
    <row r="85" spans="1:19">
      <c r="A85" s="158"/>
      <c r="B85" s="58"/>
      <c r="C85" s="23">
        <f t="shared" si="12"/>
        <v>1</v>
      </c>
      <c r="D85" s="718"/>
      <c r="E85" s="23">
        <f t="shared" si="13"/>
        <v>0.05</v>
      </c>
      <c r="F85" s="718"/>
      <c r="G85" s="23">
        <f t="shared" si="14"/>
        <v>1</v>
      </c>
      <c r="H85" s="718"/>
      <c r="I85" s="23">
        <f t="shared" si="15"/>
        <v>1</v>
      </c>
      <c r="J85" s="718"/>
      <c r="K85" s="23">
        <f t="shared" si="16"/>
        <v>1</v>
      </c>
      <c r="L85" s="718"/>
      <c r="M85" s="23">
        <f t="shared" si="17"/>
        <v>1</v>
      </c>
      <c r="N85" s="718"/>
      <c r="O85" s="23">
        <f t="shared" si="18"/>
        <v>1</v>
      </c>
      <c r="P85" s="718"/>
      <c r="Q85" s="23">
        <f t="shared" si="19"/>
        <v>1</v>
      </c>
      <c r="R85" s="715">
        <f t="shared" si="20"/>
        <v>0</v>
      </c>
      <c r="S85" s="360">
        <f t="shared" si="22"/>
        <v>0</v>
      </c>
    </row>
    <row r="86" spans="1:19">
      <c r="A86" s="158"/>
      <c r="B86" s="58"/>
      <c r="C86" s="23">
        <f t="shared" si="12"/>
        <v>1</v>
      </c>
      <c r="D86" s="718"/>
      <c r="E86" s="23">
        <f t="shared" si="13"/>
        <v>0.05</v>
      </c>
      <c r="F86" s="718"/>
      <c r="G86" s="23">
        <f t="shared" si="14"/>
        <v>1</v>
      </c>
      <c r="H86" s="718"/>
      <c r="I86" s="23">
        <f t="shared" si="15"/>
        <v>1</v>
      </c>
      <c r="J86" s="718"/>
      <c r="K86" s="23">
        <f t="shared" si="16"/>
        <v>1</v>
      </c>
      <c r="L86" s="718"/>
      <c r="M86" s="23">
        <f t="shared" si="17"/>
        <v>1</v>
      </c>
      <c r="N86" s="718"/>
      <c r="O86" s="23">
        <f t="shared" si="18"/>
        <v>1</v>
      </c>
      <c r="P86" s="718"/>
      <c r="Q86" s="23">
        <f t="shared" si="19"/>
        <v>1</v>
      </c>
      <c r="R86" s="715">
        <f t="shared" si="20"/>
        <v>0</v>
      </c>
      <c r="S86" s="360">
        <f t="shared" si="22"/>
        <v>0</v>
      </c>
    </row>
    <row r="87" spans="1:19">
      <c r="A87" s="158"/>
      <c r="B87" s="58"/>
      <c r="C87" s="23">
        <f t="shared" si="12"/>
        <v>1</v>
      </c>
      <c r="D87" s="718"/>
      <c r="E87" s="23">
        <f t="shared" si="13"/>
        <v>0.05</v>
      </c>
      <c r="F87" s="718"/>
      <c r="G87" s="23">
        <f t="shared" si="14"/>
        <v>1</v>
      </c>
      <c r="H87" s="718"/>
      <c r="I87" s="23">
        <f t="shared" si="15"/>
        <v>1</v>
      </c>
      <c r="J87" s="718"/>
      <c r="K87" s="23">
        <f t="shared" si="16"/>
        <v>1</v>
      </c>
      <c r="L87" s="718"/>
      <c r="M87" s="23">
        <f t="shared" si="17"/>
        <v>1</v>
      </c>
      <c r="N87" s="718"/>
      <c r="O87" s="23">
        <f t="shared" si="18"/>
        <v>1</v>
      </c>
      <c r="P87" s="718"/>
      <c r="Q87" s="23">
        <f t="shared" si="19"/>
        <v>1</v>
      </c>
      <c r="R87" s="715">
        <f t="shared" si="20"/>
        <v>0</v>
      </c>
      <c r="S87" s="360">
        <f t="shared" si="22"/>
        <v>0</v>
      </c>
    </row>
    <row r="88" spans="1:19">
      <c r="A88" s="158"/>
      <c r="B88" s="58"/>
      <c r="C88" s="23">
        <f t="shared" si="12"/>
        <v>1</v>
      </c>
      <c r="D88" s="718"/>
      <c r="E88" s="23">
        <f t="shared" si="13"/>
        <v>0.05</v>
      </c>
      <c r="F88" s="718"/>
      <c r="G88" s="23">
        <f t="shared" si="14"/>
        <v>1</v>
      </c>
      <c r="H88" s="718"/>
      <c r="I88" s="23">
        <f t="shared" si="15"/>
        <v>1</v>
      </c>
      <c r="J88" s="718"/>
      <c r="K88" s="23">
        <f t="shared" si="16"/>
        <v>1</v>
      </c>
      <c r="L88" s="718"/>
      <c r="M88" s="23">
        <f t="shared" si="17"/>
        <v>1</v>
      </c>
      <c r="N88" s="718"/>
      <c r="O88" s="23">
        <f t="shared" si="18"/>
        <v>1</v>
      </c>
      <c r="P88" s="718"/>
      <c r="Q88" s="23">
        <f t="shared" si="19"/>
        <v>1</v>
      </c>
      <c r="R88" s="715">
        <f t="shared" si="20"/>
        <v>0</v>
      </c>
      <c r="S88" s="360">
        <f t="shared" si="22"/>
        <v>0</v>
      </c>
    </row>
    <row r="89" spans="1:19">
      <c r="A89" s="158"/>
      <c r="B89" s="58"/>
      <c r="C89" s="23">
        <f t="shared" si="12"/>
        <v>1</v>
      </c>
      <c r="D89" s="718"/>
      <c r="E89" s="23">
        <f t="shared" si="13"/>
        <v>0.05</v>
      </c>
      <c r="F89" s="718"/>
      <c r="G89" s="23">
        <f t="shared" si="14"/>
        <v>1</v>
      </c>
      <c r="H89" s="718"/>
      <c r="I89" s="23">
        <f t="shared" si="15"/>
        <v>1</v>
      </c>
      <c r="J89" s="718"/>
      <c r="K89" s="23">
        <f t="shared" si="16"/>
        <v>1</v>
      </c>
      <c r="L89" s="718"/>
      <c r="M89" s="23">
        <f t="shared" si="17"/>
        <v>1</v>
      </c>
      <c r="N89" s="718"/>
      <c r="O89" s="23">
        <f t="shared" si="18"/>
        <v>1</v>
      </c>
      <c r="P89" s="718"/>
      <c r="Q89" s="23">
        <f t="shared" si="19"/>
        <v>1</v>
      </c>
      <c r="R89" s="715">
        <f t="shared" si="20"/>
        <v>0</v>
      </c>
      <c r="S89" s="360">
        <f t="shared" si="22"/>
        <v>0</v>
      </c>
    </row>
    <row r="90" spans="1:19">
      <c r="A90" s="158"/>
      <c r="B90" s="58"/>
      <c r="C90" s="23">
        <f t="shared" ref="C90:C153" si="23">IF(B90="",1,(LOOKUP(B90,$3:$3,$4:$4)-LOOKUP($B$24,$3:$3,$4:$4)+100)/100)</f>
        <v>1</v>
      </c>
      <c r="D90" s="718"/>
      <c r="E90" s="23">
        <f t="shared" ref="E90:E153" si="24">(SUMIF($5:$5,D90,$6:$6)-SUMIF($5:$5,$D$24,$6:$6)+100)/100</f>
        <v>0.05</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8"/>
      <c r="E91" s="23">
        <f t="shared" si="24"/>
        <v>0.05</v>
      </c>
      <c r="F91" s="718"/>
      <c r="G91" s="23">
        <f t="shared" si="25"/>
        <v>1</v>
      </c>
      <c r="H91" s="718"/>
      <c r="I91" s="23">
        <f t="shared" si="26"/>
        <v>1</v>
      </c>
      <c r="J91" s="718"/>
      <c r="K91" s="23">
        <f t="shared" si="27"/>
        <v>1</v>
      </c>
      <c r="L91" s="718"/>
      <c r="M91" s="23">
        <f t="shared" si="28"/>
        <v>1</v>
      </c>
      <c r="N91" s="718"/>
      <c r="O91" s="23">
        <f t="shared" si="29"/>
        <v>1</v>
      </c>
      <c r="P91" s="718"/>
      <c r="Q91" s="23">
        <f t="shared" si="30"/>
        <v>1</v>
      </c>
      <c r="R91" s="715">
        <f t="shared" si="31"/>
        <v>0</v>
      </c>
      <c r="S91" s="360">
        <f t="shared" si="22"/>
        <v>0</v>
      </c>
    </row>
    <row r="92" spans="1:19">
      <c r="A92" s="158"/>
      <c r="B92" s="58"/>
      <c r="C92" s="23">
        <f t="shared" si="23"/>
        <v>1</v>
      </c>
      <c r="D92" s="718"/>
      <c r="E92" s="23">
        <f t="shared" si="24"/>
        <v>0.05</v>
      </c>
      <c r="F92" s="718"/>
      <c r="G92" s="23">
        <f t="shared" si="25"/>
        <v>1</v>
      </c>
      <c r="H92" s="718"/>
      <c r="I92" s="23">
        <f t="shared" si="26"/>
        <v>1</v>
      </c>
      <c r="J92" s="718"/>
      <c r="K92" s="23">
        <f t="shared" si="27"/>
        <v>1</v>
      </c>
      <c r="L92" s="718"/>
      <c r="M92" s="23">
        <f t="shared" si="28"/>
        <v>1</v>
      </c>
      <c r="N92" s="718"/>
      <c r="O92" s="23">
        <f t="shared" si="29"/>
        <v>1</v>
      </c>
      <c r="P92" s="718"/>
      <c r="Q92" s="23">
        <f t="shared" si="30"/>
        <v>1</v>
      </c>
      <c r="R92" s="715">
        <f t="shared" si="31"/>
        <v>0</v>
      </c>
      <c r="S92" s="360">
        <f t="shared" si="22"/>
        <v>0</v>
      </c>
    </row>
    <row r="93" spans="1:19">
      <c r="A93" s="158"/>
      <c r="B93" s="58"/>
      <c r="C93" s="23">
        <f t="shared" si="23"/>
        <v>1</v>
      </c>
      <c r="D93" s="718"/>
      <c r="E93" s="23">
        <f t="shared" si="24"/>
        <v>0.05</v>
      </c>
      <c r="F93" s="718"/>
      <c r="G93" s="23">
        <f t="shared" si="25"/>
        <v>1</v>
      </c>
      <c r="H93" s="718"/>
      <c r="I93" s="23">
        <f t="shared" si="26"/>
        <v>1</v>
      </c>
      <c r="J93" s="718"/>
      <c r="K93" s="23">
        <f t="shared" si="27"/>
        <v>1</v>
      </c>
      <c r="L93" s="718"/>
      <c r="M93" s="23">
        <f t="shared" si="28"/>
        <v>1</v>
      </c>
      <c r="N93" s="718"/>
      <c r="O93" s="23">
        <f t="shared" si="29"/>
        <v>1</v>
      </c>
      <c r="P93" s="718"/>
      <c r="Q93" s="23">
        <f t="shared" si="30"/>
        <v>1</v>
      </c>
      <c r="R93" s="715">
        <f t="shared" si="31"/>
        <v>0</v>
      </c>
      <c r="S93" s="360">
        <f t="shared" si="22"/>
        <v>0</v>
      </c>
    </row>
    <row r="94" spans="1:19">
      <c r="A94" s="158"/>
      <c r="B94" s="58"/>
      <c r="C94" s="23">
        <f t="shared" si="23"/>
        <v>1</v>
      </c>
      <c r="D94" s="718"/>
      <c r="E94" s="23">
        <f t="shared" si="24"/>
        <v>0.05</v>
      </c>
      <c r="F94" s="718"/>
      <c r="G94" s="23">
        <f t="shared" si="25"/>
        <v>1</v>
      </c>
      <c r="H94" s="718"/>
      <c r="I94" s="23">
        <f t="shared" si="26"/>
        <v>1</v>
      </c>
      <c r="J94" s="718"/>
      <c r="K94" s="23">
        <f t="shared" si="27"/>
        <v>1</v>
      </c>
      <c r="L94" s="718"/>
      <c r="M94" s="23">
        <f t="shared" si="28"/>
        <v>1</v>
      </c>
      <c r="N94" s="718"/>
      <c r="O94" s="23">
        <f t="shared" si="29"/>
        <v>1</v>
      </c>
      <c r="P94" s="718"/>
      <c r="Q94" s="23">
        <f t="shared" si="30"/>
        <v>1</v>
      </c>
      <c r="R94" s="715">
        <f t="shared" si="31"/>
        <v>0</v>
      </c>
      <c r="S94" s="360">
        <f t="shared" si="22"/>
        <v>0</v>
      </c>
    </row>
    <row r="95" spans="1:19">
      <c r="A95" s="158"/>
      <c r="B95" s="58"/>
      <c r="C95" s="23">
        <f t="shared" si="23"/>
        <v>1</v>
      </c>
      <c r="D95" s="718"/>
      <c r="E95" s="23">
        <f t="shared" si="24"/>
        <v>0.05</v>
      </c>
      <c r="F95" s="718"/>
      <c r="G95" s="23">
        <f t="shared" si="25"/>
        <v>1</v>
      </c>
      <c r="H95" s="718"/>
      <c r="I95" s="23">
        <f t="shared" si="26"/>
        <v>1</v>
      </c>
      <c r="J95" s="718"/>
      <c r="K95" s="23">
        <f t="shared" si="27"/>
        <v>1</v>
      </c>
      <c r="L95" s="718"/>
      <c r="M95" s="23">
        <f t="shared" si="28"/>
        <v>1</v>
      </c>
      <c r="N95" s="718"/>
      <c r="O95" s="23">
        <f t="shared" si="29"/>
        <v>1</v>
      </c>
      <c r="P95" s="718"/>
      <c r="Q95" s="23">
        <f t="shared" si="30"/>
        <v>1</v>
      </c>
      <c r="R95" s="715">
        <f t="shared" si="31"/>
        <v>0</v>
      </c>
      <c r="S95" s="360">
        <f t="shared" si="22"/>
        <v>0</v>
      </c>
    </row>
    <row r="96" spans="1:19">
      <c r="A96" s="158"/>
      <c r="B96" s="58"/>
      <c r="C96" s="23">
        <f t="shared" si="23"/>
        <v>1</v>
      </c>
      <c r="D96" s="718"/>
      <c r="E96" s="23">
        <f t="shared" si="24"/>
        <v>0.05</v>
      </c>
      <c r="F96" s="718"/>
      <c r="G96" s="23">
        <f t="shared" si="25"/>
        <v>1</v>
      </c>
      <c r="H96" s="718"/>
      <c r="I96" s="23">
        <f t="shared" si="26"/>
        <v>1</v>
      </c>
      <c r="J96" s="718"/>
      <c r="K96" s="23">
        <f t="shared" si="27"/>
        <v>1</v>
      </c>
      <c r="L96" s="718"/>
      <c r="M96" s="23">
        <f t="shared" si="28"/>
        <v>1</v>
      </c>
      <c r="N96" s="718"/>
      <c r="O96" s="23">
        <f t="shared" si="29"/>
        <v>1</v>
      </c>
      <c r="P96" s="718"/>
      <c r="Q96" s="23">
        <f t="shared" si="30"/>
        <v>1</v>
      </c>
      <c r="R96" s="715">
        <f t="shared" si="31"/>
        <v>0</v>
      </c>
      <c r="S96" s="360">
        <f t="shared" si="22"/>
        <v>0</v>
      </c>
    </row>
    <row r="97" spans="1:19">
      <c r="A97" s="158"/>
      <c r="B97" s="58"/>
      <c r="C97" s="23">
        <f t="shared" si="23"/>
        <v>1</v>
      </c>
      <c r="D97" s="718"/>
      <c r="E97" s="23">
        <f t="shared" si="24"/>
        <v>0.05</v>
      </c>
      <c r="F97" s="718"/>
      <c r="G97" s="23">
        <f t="shared" si="25"/>
        <v>1</v>
      </c>
      <c r="H97" s="718"/>
      <c r="I97" s="23">
        <f t="shared" si="26"/>
        <v>1</v>
      </c>
      <c r="J97" s="718"/>
      <c r="K97" s="23">
        <f t="shared" si="27"/>
        <v>1</v>
      </c>
      <c r="L97" s="718"/>
      <c r="M97" s="23">
        <f t="shared" si="28"/>
        <v>1</v>
      </c>
      <c r="N97" s="718"/>
      <c r="O97" s="23">
        <f t="shared" si="29"/>
        <v>1</v>
      </c>
      <c r="P97" s="718"/>
      <c r="Q97" s="23">
        <f t="shared" si="30"/>
        <v>1</v>
      </c>
      <c r="R97" s="715">
        <f t="shared" si="31"/>
        <v>0</v>
      </c>
      <c r="S97" s="360">
        <f t="shared" si="22"/>
        <v>0</v>
      </c>
    </row>
    <row r="98" spans="1:19">
      <c r="A98" s="158"/>
      <c r="B98" s="58"/>
      <c r="C98" s="23">
        <f t="shared" si="23"/>
        <v>1</v>
      </c>
      <c r="D98" s="718"/>
      <c r="E98" s="23">
        <f t="shared" si="24"/>
        <v>0.05</v>
      </c>
      <c r="F98" s="718"/>
      <c r="G98" s="23">
        <f t="shared" si="25"/>
        <v>1</v>
      </c>
      <c r="H98" s="718"/>
      <c r="I98" s="23">
        <f t="shared" si="26"/>
        <v>1</v>
      </c>
      <c r="J98" s="718"/>
      <c r="K98" s="23">
        <f t="shared" si="27"/>
        <v>1</v>
      </c>
      <c r="L98" s="718"/>
      <c r="M98" s="23">
        <f t="shared" si="28"/>
        <v>1</v>
      </c>
      <c r="N98" s="718"/>
      <c r="O98" s="23">
        <f t="shared" si="29"/>
        <v>1</v>
      </c>
      <c r="P98" s="718"/>
      <c r="Q98" s="23">
        <f t="shared" si="30"/>
        <v>1</v>
      </c>
      <c r="R98" s="715">
        <f t="shared" si="31"/>
        <v>0</v>
      </c>
      <c r="S98" s="360">
        <f t="shared" si="22"/>
        <v>0</v>
      </c>
    </row>
    <row r="99" spans="1:19">
      <c r="A99" s="158"/>
      <c r="B99" s="58"/>
      <c r="C99" s="23">
        <f t="shared" si="23"/>
        <v>1</v>
      </c>
      <c r="D99" s="718"/>
      <c r="E99" s="23">
        <f t="shared" si="24"/>
        <v>0.05</v>
      </c>
      <c r="F99" s="718"/>
      <c r="G99" s="23">
        <f t="shared" si="25"/>
        <v>1</v>
      </c>
      <c r="H99" s="718"/>
      <c r="I99" s="23">
        <f t="shared" si="26"/>
        <v>1</v>
      </c>
      <c r="J99" s="718"/>
      <c r="K99" s="23">
        <f t="shared" si="27"/>
        <v>1</v>
      </c>
      <c r="L99" s="718"/>
      <c r="M99" s="23">
        <f t="shared" si="28"/>
        <v>1</v>
      </c>
      <c r="N99" s="718"/>
      <c r="O99" s="23">
        <f t="shared" si="29"/>
        <v>1</v>
      </c>
      <c r="P99" s="718"/>
      <c r="Q99" s="23">
        <f t="shared" si="30"/>
        <v>1</v>
      </c>
      <c r="R99" s="715">
        <f t="shared" si="31"/>
        <v>0</v>
      </c>
      <c r="S99" s="360">
        <f t="shared" si="22"/>
        <v>0</v>
      </c>
    </row>
    <row r="100" spans="1:19">
      <c r="A100" s="158"/>
      <c r="B100" s="58"/>
      <c r="C100" s="23">
        <f t="shared" si="23"/>
        <v>1</v>
      </c>
      <c r="D100" s="718"/>
      <c r="E100" s="23">
        <f t="shared" si="24"/>
        <v>0.05</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5">
        <f t="shared" si="31"/>
        <v>0</v>
      </c>
      <c r="S100" s="360">
        <f t="shared" si="22"/>
        <v>0</v>
      </c>
    </row>
    <row r="101" spans="1:19">
      <c r="A101" s="158"/>
      <c r="B101" s="58"/>
      <c r="C101" s="23">
        <f t="shared" si="23"/>
        <v>1</v>
      </c>
      <c r="D101" s="718"/>
      <c r="E101" s="23">
        <f t="shared" si="24"/>
        <v>0.05</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5">
        <f t="shared" si="31"/>
        <v>0</v>
      </c>
      <c r="S101" s="360">
        <f t="shared" si="22"/>
        <v>0</v>
      </c>
    </row>
    <row r="102" spans="1:19">
      <c r="A102" s="158"/>
      <c r="B102" s="58"/>
      <c r="C102" s="23">
        <f t="shared" si="23"/>
        <v>1</v>
      </c>
      <c r="D102" s="718"/>
      <c r="E102" s="23">
        <f t="shared" si="24"/>
        <v>0.05</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5">
        <f t="shared" si="31"/>
        <v>0</v>
      </c>
      <c r="S102" s="360">
        <f t="shared" si="22"/>
        <v>0</v>
      </c>
    </row>
    <row r="103" spans="1:19">
      <c r="A103" s="158"/>
      <c r="B103" s="58"/>
      <c r="C103" s="23">
        <f t="shared" si="23"/>
        <v>1</v>
      </c>
      <c r="D103" s="718"/>
      <c r="E103" s="23">
        <f t="shared" si="24"/>
        <v>0.05</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5">
        <f t="shared" si="31"/>
        <v>0</v>
      </c>
      <c r="S103" s="360">
        <f t="shared" si="22"/>
        <v>0</v>
      </c>
    </row>
    <row r="104" spans="1:19">
      <c r="A104" s="158"/>
      <c r="B104" s="58"/>
      <c r="C104" s="23">
        <f t="shared" si="23"/>
        <v>1</v>
      </c>
      <c r="D104" s="718"/>
      <c r="E104" s="23">
        <f t="shared" si="24"/>
        <v>0.05</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5">
        <f t="shared" si="31"/>
        <v>0</v>
      </c>
      <c r="S104" s="360">
        <f t="shared" si="22"/>
        <v>0</v>
      </c>
    </row>
    <row r="105" spans="1:19">
      <c r="A105" s="158"/>
      <c r="B105" s="58"/>
      <c r="C105" s="23">
        <f t="shared" si="23"/>
        <v>1</v>
      </c>
      <c r="D105" s="718"/>
      <c r="E105" s="23">
        <f t="shared" si="24"/>
        <v>0.05</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5">
        <f t="shared" si="31"/>
        <v>0</v>
      </c>
      <c r="S105" s="360">
        <f t="shared" si="22"/>
        <v>0</v>
      </c>
    </row>
    <row r="106" spans="1:19">
      <c r="A106" s="158"/>
      <c r="B106" s="58"/>
      <c r="C106" s="23">
        <f t="shared" si="23"/>
        <v>1</v>
      </c>
      <c r="D106" s="718"/>
      <c r="E106" s="23">
        <f t="shared" si="24"/>
        <v>0.05</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5">
        <f t="shared" si="31"/>
        <v>0</v>
      </c>
      <c r="S106" s="360">
        <f t="shared" si="22"/>
        <v>0</v>
      </c>
    </row>
    <row r="107" spans="1:19">
      <c r="A107" s="158"/>
      <c r="B107" s="58"/>
      <c r="C107" s="23">
        <f t="shared" si="23"/>
        <v>1</v>
      </c>
      <c r="D107" s="718"/>
      <c r="E107" s="23">
        <f t="shared" si="24"/>
        <v>0.05</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5">
        <f t="shared" si="31"/>
        <v>0</v>
      </c>
      <c r="S107" s="360">
        <f t="shared" si="22"/>
        <v>0</v>
      </c>
    </row>
    <row r="108" spans="1:19">
      <c r="A108" s="158"/>
      <c r="B108" s="58"/>
      <c r="C108" s="23">
        <f t="shared" si="23"/>
        <v>1</v>
      </c>
      <c r="D108" s="718"/>
      <c r="E108" s="23">
        <f t="shared" si="24"/>
        <v>0.05</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5">
        <f t="shared" si="31"/>
        <v>0</v>
      </c>
      <c r="S108" s="360">
        <f t="shared" si="22"/>
        <v>0</v>
      </c>
    </row>
    <row r="109" spans="1:19">
      <c r="A109" s="158"/>
      <c r="B109" s="58"/>
      <c r="C109" s="23">
        <f t="shared" si="23"/>
        <v>1</v>
      </c>
      <c r="D109" s="718"/>
      <c r="E109" s="23">
        <f t="shared" si="24"/>
        <v>0.05</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5">
        <f t="shared" si="31"/>
        <v>0</v>
      </c>
      <c r="S109" s="360">
        <f t="shared" si="22"/>
        <v>0</v>
      </c>
    </row>
    <row r="110" spans="1:19">
      <c r="A110" s="158"/>
      <c r="B110" s="58"/>
      <c r="C110" s="23">
        <f t="shared" si="23"/>
        <v>1</v>
      </c>
      <c r="D110" s="718"/>
      <c r="E110" s="23">
        <f t="shared" si="24"/>
        <v>0.05</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5">
        <f t="shared" si="31"/>
        <v>0</v>
      </c>
      <c r="S110" s="360">
        <f t="shared" si="22"/>
        <v>0</v>
      </c>
    </row>
    <row r="111" spans="1:19">
      <c r="A111" s="158"/>
      <c r="B111" s="58"/>
      <c r="C111" s="23">
        <f t="shared" si="23"/>
        <v>1</v>
      </c>
      <c r="D111" s="718"/>
      <c r="E111" s="23">
        <f t="shared" si="24"/>
        <v>0.05</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5">
        <f t="shared" si="31"/>
        <v>0</v>
      </c>
      <c r="S111" s="360">
        <f t="shared" si="22"/>
        <v>0</v>
      </c>
    </row>
    <row r="112" spans="1:19">
      <c r="A112" s="158"/>
      <c r="B112" s="58"/>
      <c r="C112" s="23">
        <f t="shared" si="23"/>
        <v>1</v>
      </c>
      <c r="D112" s="718"/>
      <c r="E112" s="23">
        <f t="shared" si="24"/>
        <v>0.05</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5">
        <f t="shared" si="31"/>
        <v>0</v>
      </c>
      <c r="S112" s="360">
        <f t="shared" si="22"/>
        <v>0</v>
      </c>
    </row>
    <row r="113" spans="1:19">
      <c r="A113" s="158"/>
      <c r="B113" s="58"/>
      <c r="C113" s="23">
        <f t="shared" si="23"/>
        <v>1</v>
      </c>
      <c r="D113" s="718"/>
      <c r="E113" s="23">
        <f t="shared" si="24"/>
        <v>0.05</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5">
        <f t="shared" si="31"/>
        <v>0</v>
      </c>
      <c r="S113" s="360">
        <f t="shared" si="22"/>
        <v>0</v>
      </c>
    </row>
    <row r="114" spans="1:19">
      <c r="A114" s="158"/>
      <c r="B114" s="58"/>
      <c r="C114" s="23">
        <f t="shared" si="23"/>
        <v>1</v>
      </c>
      <c r="D114" s="718"/>
      <c r="E114" s="23">
        <f t="shared" si="24"/>
        <v>0.05</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5">
        <f t="shared" si="31"/>
        <v>0</v>
      </c>
      <c r="S114" s="360">
        <f t="shared" si="22"/>
        <v>0</v>
      </c>
    </row>
    <row r="115" spans="1:19">
      <c r="A115" s="158"/>
      <c r="B115" s="58"/>
      <c r="C115" s="23">
        <f t="shared" si="23"/>
        <v>1</v>
      </c>
      <c r="D115" s="718"/>
      <c r="E115" s="23">
        <f t="shared" si="24"/>
        <v>0.05</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5">
        <f t="shared" si="31"/>
        <v>0</v>
      </c>
      <c r="S115" s="360">
        <f t="shared" si="22"/>
        <v>0</v>
      </c>
    </row>
    <row r="116" spans="1:19">
      <c r="A116" s="158"/>
      <c r="B116" s="58"/>
      <c r="C116" s="23">
        <f t="shared" si="23"/>
        <v>1</v>
      </c>
      <c r="D116" s="718"/>
      <c r="E116" s="23">
        <f t="shared" si="24"/>
        <v>0.05</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5">
        <f t="shared" si="31"/>
        <v>0</v>
      </c>
      <c r="S116" s="360">
        <f t="shared" si="22"/>
        <v>0</v>
      </c>
    </row>
    <row r="117" spans="1:19">
      <c r="A117" s="158"/>
      <c r="B117" s="58"/>
      <c r="C117" s="23">
        <f t="shared" si="23"/>
        <v>1</v>
      </c>
      <c r="D117" s="718"/>
      <c r="E117" s="23">
        <f t="shared" si="24"/>
        <v>0.05</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5">
        <f t="shared" si="31"/>
        <v>0</v>
      </c>
      <c r="S117" s="360">
        <f t="shared" si="22"/>
        <v>0</v>
      </c>
    </row>
    <row r="118" spans="1:19">
      <c r="A118" s="158"/>
      <c r="B118" s="58"/>
      <c r="C118" s="23">
        <f t="shared" si="23"/>
        <v>1</v>
      </c>
      <c r="D118" s="718"/>
      <c r="E118" s="23">
        <f t="shared" si="24"/>
        <v>0.05</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5">
        <f t="shared" si="31"/>
        <v>0</v>
      </c>
      <c r="S118" s="360">
        <f t="shared" si="22"/>
        <v>0</v>
      </c>
    </row>
    <row r="119" spans="1:19">
      <c r="A119" s="158"/>
      <c r="B119" s="58"/>
      <c r="C119" s="23">
        <f t="shared" si="23"/>
        <v>1</v>
      </c>
      <c r="D119" s="718"/>
      <c r="E119" s="23">
        <f t="shared" si="24"/>
        <v>0.05</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5">
        <f t="shared" si="31"/>
        <v>0</v>
      </c>
      <c r="S119" s="360">
        <f t="shared" si="22"/>
        <v>0</v>
      </c>
    </row>
    <row r="120" spans="1:19">
      <c r="A120" s="158"/>
      <c r="B120" s="58"/>
      <c r="C120" s="23">
        <f t="shared" si="23"/>
        <v>1</v>
      </c>
      <c r="D120" s="718"/>
      <c r="E120" s="23">
        <f t="shared" si="24"/>
        <v>0.05</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5">
        <f t="shared" si="31"/>
        <v>0</v>
      </c>
      <c r="S120" s="360">
        <f t="shared" si="22"/>
        <v>0</v>
      </c>
    </row>
    <row r="121" spans="1:19">
      <c r="A121" s="158"/>
      <c r="B121" s="58"/>
      <c r="C121" s="23">
        <f t="shared" si="23"/>
        <v>1</v>
      </c>
      <c r="D121" s="718"/>
      <c r="E121" s="23">
        <f t="shared" si="24"/>
        <v>0.05</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5">
        <f t="shared" si="31"/>
        <v>0</v>
      </c>
      <c r="S121" s="360">
        <f t="shared" si="22"/>
        <v>0</v>
      </c>
    </row>
    <row r="122" spans="1:19">
      <c r="A122" s="158"/>
      <c r="B122" s="58"/>
      <c r="C122" s="23">
        <f t="shared" si="23"/>
        <v>1</v>
      </c>
      <c r="D122" s="718"/>
      <c r="E122" s="23">
        <f t="shared" si="24"/>
        <v>0.05</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5">
        <f t="shared" si="31"/>
        <v>0</v>
      </c>
      <c r="S122" s="360">
        <f t="shared" si="22"/>
        <v>0</v>
      </c>
    </row>
    <row r="123" spans="1:19">
      <c r="A123" s="158"/>
      <c r="B123" s="58"/>
      <c r="C123" s="23">
        <f t="shared" si="23"/>
        <v>1</v>
      </c>
      <c r="D123" s="718"/>
      <c r="E123" s="23">
        <f t="shared" si="24"/>
        <v>0.05</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5">
        <f t="shared" si="31"/>
        <v>0</v>
      </c>
      <c r="S123" s="360">
        <f t="shared" ref="S123:S186" si="32">ROUND(R123*B123/10000,0)</f>
        <v>0</v>
      </c>
    </row>
    <row r="124" spans="1:19">
      <c r="A124" s="158"/>
      <c r="B124" s="58"/>
      <c r="C124" s="23">
        <f t="shared" si="23"/>
        <v>1</v>
      </c>
      <c r="D124" s="718"/>
      <c r="E124" s="23">
        <f t="shared" si="24"/>
        <v>0.05</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5">
        <f t="shared" si="31"/>
        <v>0</v>
      </c>
      <c r="S124" s="360">
        <f t="shared" si="32"/>
        <v>0</v>
      </c>
    </row>
    <row r="125" spans="1:19">
      <c r="A125" s="158"/>
      <c r="B125" s="58"/>
      <c r="C125" s="23">
        <f t="shared" si="23"/>
        <v>1</v>
      </c>
      <c r="D125" s="718"/>
      <c r="E125" s="23">
        <f t="shared" si="24"/>
        <v>0.05</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5">
        <f t="shared" si="31"/>
        <v>0</v>
      </c>
      <c r="S125" s="360">
        <f t="shared" si="32"/>
        <v>0</v>
      </c>
    </row>
    <row r="126" spans="1:19">
      <c r="A126" s="158"/>
      <c r="B126" s="58"/>
      <c r="C126" s="23">
        <f t="shared" si="23"/>
        <v>1</v>
      </c>
      <c r="D126" s="718"/>
      <c r="E126" s="23">
        <f t="shared" si="24"/>
        <v>0.05</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5">
        <f t="shared" si="31"/>
        <v>0</v>
      </c>
      <c r="S126" s="360">
        <f t="shared" si="32"/>
        <v>0</v>
      </c>
    </row>
    <row r="127" spans="1:19">
      <c r="A127" s="158"/>
      <c r="B127" s="58"/>
      <c r="C127" s="23">
        <f t="shared" si="23"/>
        <v>1</v>
      </c>
      <c r="D127" s="718"/>
      <c r="E127" s="23">
        <f t="shared" si="24"/>
        <v>0.05</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5">
        <f t="shared" si="31"/>
        <v>0</v>
      </c>
      <c r="S127" s="360">
        <f t="shared" si="32"/>
        <v>0</v>
      </c>
    </row>
    <row r="128" spans="1:19">
      <c r="A128" s="158"/>
      <c r="B128" s="58"/>
      <c r="C128" s="23">
        <f t="shared" si="23"/>
        <v>1</v>
      </c>
      <c r="D128" s="718"/>
      <c r="E128" s="23">
        <f t="shared" si="24"/>
        <v>0.05</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5">
        <f t="shared" si="31"/>
        <v>0</v>
      </c>
      <c r="S128" s="360">
        <f t="shared" si="32"/>
        <v>0</v>
      </c>
    </row>
    <row r="129" spans="1:19">
      <c r="A129" s="158"/>
      <c r="B129" s="58"/>
      <c r="C129" s="23">
        <f t="shared" si="23"/>
        <v>1</v>
      </c>
      <c r="D129" s="718"/>
      <c r="E129" s="23">
        <f t="shared" si="24"/>
        <v>0.05</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5">
        <f t="shared" si="31"/>
        <v>0</v>
      </c>
      <c r="S129" s="360">
        <f t="shared" si="32"/>
        <v>0</v>
      </c>
    </row>
    <row r="130" spans="1:19">
      <c r="A130" s="158"/>
      <c r="B130" s="58"/>
      <c r="C130" s="23">
        <f t="shared" si="23"/>
        <v>1</v>
      </c>
      <c r="D130" s="718"/>
      <c r="E130" s="23">
        <f t="shared" si="24"/>
        <v>0.05</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5">
        <f t="shared" si="31"/>
        <v>0</v>
      </c>
      <c r="S130" s="360">
        <f t="shared" si="32"/>
        <v>0</v>
      </c>
    </row>
    <row r="131" spans="1:19">
      <c r="A131" s="158"/>
      <c r="B131" s="58"/>
      <c r="C131" s="23">
        <f t="shared" si="23"/>
        <v>1</v>
      </c>
      <c r="D131" s="718"/>
      <c r="E131" s="23">
        <f t="shared" si="24"/>
        <v>0.05</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5">
        <f t="shared" si="31"/>
        <v>0</v>
      </c>
      <c r="S131" s="360">
        <f t="shared" si="32"/>
        <v>0</v>
      </c>
    </row>
    <row r="132" spans="1:19">
      <c r="A132" s="158"/>
      <c r="B132" s="58"/>
      <c r="C132" s="23">
        <f t="shared" si="23"/>
        <v>1</v>
      </c>
      <c r="D132" s="718"/>
      <c r="E132" s="23">
        <f t="shared" si="24"/>
        <v>0.05</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5">
        <f t="shared" si="31"/>
        <v>0</v>
      </c>
      <c r="S132" s="360">
        <f t="shared" si="32"/>
        <v>0</v>
      </c>
    </row>
    <row r="133" spans="1:19">
      <c r="A133" s="158"/>
      <c r="B133" s="58"/>
      <c r="C133" s="23">
        <f t="shared" si="23"/>
        <v>1</v>
      </c>
      <c r="D133" s="718"/>
      <c r="E133" s="23">
        <f t="shared" si="24"/>
        <v>0.05</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5">
        <f t="shared" si="31"/>
        <v>0</v>
      </c>
      <c r="S133" s="360">
        <f t="shared" si="32"/>
        <v>0</v>
      </c>
    </row>
    <row r="134" spans="1:19">
      <c r="A134" s="158"/>
      <c r="B134" s="58"/>
      <c r="C134" s="23">
        <f t="shared" si="23"/>
        <v>1</v>
      </c>
      <c r="D134" s="718"/>
      <c r="E134" s="23">
        <f t="shared" si="24"/>
        <v>0.05</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5">
        <f t="shared" si="31"/>
        <v>0</v>
      </c>
      <c r="S134" s="360">
        <f t="shared" si="32"/>
        <v>0</v>
      </c>
    </row>
    <row r="135" spans="1:19">
      <c r="A135" s="158"/>
      <c r="B135" s="58"/>
      <c r="C135" s="23">
        <f t="shared" si="23"/>
        <v>1</v>
      </c>
      <c r="D135" s="718"/>
      <c r="E135" s="23">
        <f t="shared" si="24"/>
        <v>0.05</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5">
        <f t="shared" si="31"/>
        <v>0</v>
      </c>
      <c r="S135" s="360">
        <f t="shared" si="32"/>
        <v>0</v>
      </c>
    </row>
    <row r="136" spans="1:19">
      <c r="A136" s="158"/>
      <c r="B136" s="58"/>
      <c r="C136" s="23">
        <f t="shared" si="23"/>
        <v>1</v>
      </c>
      <c r="D136" s="718"/>
      <c r="E136" s="23">
        <f t="shared" si="24"/>
        <v>0.05</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5">
        <f t="shared" si="31"/>
        <v>0</v>
      </c>
      <c r="S136" s="360">
        <f t="shared" si="32"/>
        <v>0</v>
      </c>
    </row>
    <row r="137" spans="1:19">
      <c r="A137" s="158"/>
      <c r="B137" s="58"/>
      <c r="C137" s="23">
        <f t="shared" si="23"/>
        <v>1</v>
      </c>
      <c r="D137" s="718"/>
      <c r="E137" s="23">
        <f t="shared" si="24"/>
        <v>0.05</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5">
        <f t="shared" si="31"/>
        <v>0</v>
      </c>
      <c r="S137" s="360">
        <f t="shared" si="32"/>
        <v>0</v>
      </c>
    </row>
    <row r="138" spans="1:19">
      <c r="A138" s="158"/>
      <c r="B138" s="58"/>
      <c r="C138" s="23">
        <f t="shared" si="23"/>
        <v>1</v>
      </c>
      <c r="D138" s="718"/>
      <c r="E138" s="23">
        <f t="shared" si="24"/>
        <v>0.05</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5">
        <f t="shared" si="31"/>
        <v>0</v>
      </c>
      <c r="S138" s="360">
        <f t="shared" si="32"/>
        <v>0</v>
      </c>
    </row>
    <row r="139" spans="1:19">
      <c r="A139" s="158"/>
      <c r="B139" s="58"/>
      <c r="C139" s="23">
        <f t="shared" si="23"/>
        <v>1</v>
      </c>
      <c r="D139" s="718"/>
      <c r="E139" s="23">
        <f t="shared" si="24"/>
        <v>0.05</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5">
        <f t="shared" si="31"/>
        <v>0</v>
      </c>
      <c r="S139" s="360">
        <f t="shared" si="32"/>
        <v>0</v>
      </c>
    </row>
    <row r="140" spans="1:19">
      <c r="A140" s="158"/>
      <c r="B140" s="58"/>
      <c r="C140" s="23">
        <f t="shared" si="23"/>
        <v>1</v>
      </c>
      <c r="D140" s="718"/>
      <c r="E140" s="23">
        <f t="shared" si="24"/>
        <v>0.05</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5">
        <f t="shared" si="31"/>
        <v>0</v>
      </c>
      <c r="S140" s="360">
        <f t="shared" si="32"/>
        <v>0</v>
      </c>
    </row>
    <row r="141" spans="1:19">
      <c r="A141" s="158"/>
      <c r="B141" s="58"/>
      <c r="C141" s="23">
        <f t="shared" si="23"/>
        <v>1</v>
      </c>
      <c r="D141" s="718"/>
      <c r="E141" s="23">
        <f t="shared" si="24"/>
        <v>0.05</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5">
        <f t="shared" si="31"/>
        <v>0</v>
      </c>
      <c r="S141" s="360">
        <f t="shared" si="32"/>
        <v>0</v>
      </c>
    </row>
    <row r="142" spans="1:19">
      <c r="A142" s="158"/>
      <c r="B142" s="58"/>
      <c r="C142" s="23">
        <f t="shared" si="23"/>
        <v>1</v>
      </c>
      <c r="D142" s="718"/>
      <c r="E142" s="23">
        <f t="shared" si="24"/>
        <v>0.05</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5">
        <f t="shared" si="31"/>
        <v>0</v>
      </c>
      <c r="S142" s="360">
        <f t="shared" si="32"/>
        <v>0</v>
      </c>
    </row>
    <row r="143" spans="1:19">
      <c r="A143" s="158"/>
      <c r="B143" s="58"/>
      <c r="C143" s="23">
        <f t="shared" si="23"/>
        <v>1</v>
      </c>
      <c r="D143" s="718"/>
      <c r="E143" s="23">
        <f t="shared" si="24"/>
        <v>0.05</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5">
        <f t="shared" si="31"/>
        <v>0</v>
      </c>
      <c r="S143" s="360">
        <f t="shared" si="32"/>
        <v>0</v>
      </c>
    </row>
    <row r="144" spans="1:19">
      <c r="A144" s="158"/>
      <c r="B144" s="58"/>
      <c r="C144" s="23">
        <f t="shared" si="23"/>
        <v>1</v>
      </c>
      <c r="D144" s="718"/>
      <c r="E144" s="23">
        <f t="shared" si="24"/>
        <v>0.05</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5">
        <f t="shared" si="31"/>
        <v>0</v>
      </c>
      <c r="S144" s="360">
        <f t="shared" si="32"/>
        <v>0</v>
      </c>
    </row>
    <row r="145" spans="1:19">
      <c r="A145" s="158"/>
      <c r="B145" s="58"/>
      <c r="C145" s="23">
        <f t="shared" si="23"/>
        <v>1</v>
      </c>
      <c r="D145" s="718"/>
      <c r="E145" s="23">
        <f t="shared" si="24"/>
        <v>0.05</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5">
        <f t="shared" si="31"/>
        <v>0</v>
      </c>
      <c r="S145" s="360">
        <f t="shared" si="32"/>
        <v>0</v>
      </c>
    </row>
    <row r="146" spans="1:19">
      <c r="A146" s="158"/>
      <c r="B146" s="58"/>
      <c r="C146" s="23">
        <f t="shared" si="23"/>
        <v>1</v>
      </c>
      <c r="D146" s="718"/>
      <c r="E146" s="23">
        <f t="shared" si="24"/>
        <v>0.05</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5">
        <f t="shared" si="31"/>
        <v>0</v>
      </c>
      <c r="S146" s="360">
        <f t="shared" si="32"/>
        <v>0</v>
      </c>
    </row>
    <row r="147" spans="1:19">
      <c r="A147" s="158"/>
      <c r="B147" s="58"/>
      <c r="C147" s="23">
        <f t="shared" si="23"/>
        <v>1</v>
      </c>
      <c r="D147" s="718"/>
      <c r="E147" s="23">
        <f t="shared" si="24"/>
        <v>0.05</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5">
        <f t="shared" si="31"/>
        <v>0</v>
      </c>
      <c r="S147" s="360">
        <f t="shared" si="32"/>
        <v>0</v>
      </c>
    </row>
    <row r="148" spans="1:19">
      <c r="A148" s="158"/>
      <c r="B148" s="58"/>
      <c r="C148" s="23">
        <f t="shared" si="23"/>
        <v>1</v>
      </c>
      <c r="D148" s="718"/>
      <c r="E148" s="23">
        <f t="shared" si="24"/>
        <v>0.05</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5">
        <f t="shared" si="31"/>
        <v>0</v>
      </c>
      <c r="S148" s="360">
        <f t="shared" si="32"/>
        <v>0</v>
      </c>
    </row>
    <row r="149" spans="1:19">
      <c r="A149" s="158"/>
      <c r="B149" s="58"/>
      <c r="C149" s="23">
        <f t="shared" si="23"/>
        <v>1</v>
      </c>
      <c r="D149" s="718"/>
      <c r="E149" s="23">
        <f t="shared" si="24"/>
        <v>0.05</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5">
        <f t="shared" si="31"/>
        <v>0</v>
      </c>
      <c r="S149" s="360">
        <f t="shared" si="32"/>
        <v>0</v>
      </c>
    </row>
    <row r="150" spans="1:19">
      <c r="A150" s="158"/>
      <c r="B150" s="58"/>
      <c r="C150" s="23">
        <f t="shared" si="23"/>
        <v>1</v>
      </c>
      <c r="D150" s="718"/>
      <c r="E150" s="23">
        <f t="shared" si="24"/>
        <v>0.05</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5">
        <f t="shared" si="31"/>
        <v>0</v>
      </c>
      <c r="S150" s="360">
        <f t="shared" si="32"/>
        <v>0</v>
      </c>
    </row>
    <row r="151" spans="1:19">
      <c r="A151" s="158"/>
      <c r="B151" s="58"/>
      <c r="C151" s="23">
        <f t="shared" si="23"/>
        <v>1</v>
      </c>
      <c r="D151" s="718"/>
      <c r="E151" s="23">
        <f t="shared" si="24"/>
        <v>0.05</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5">
        <f t="shared" si="31"/>
        <v>0</v>
      </c>
      <c r="S151" s="360">
        <f t="shared" si="32"/>
        <v>0</v>
      </c>
    </row>
    <row r="152" spans="1:19">
      <c r="A152" s="158"/>
      <c r="B152" s="58"/>
      <c r="C152" s="23">
        <f t="shared" si="23"/>
        <v>1</v>
      </c>
      <c r="D152" s="718"/>
      <c r="E152" s="23">
        <f t="shared" si="24"/>
        <v>0.05</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5">
        <f t="shared" si="31"/>
        <v>0</v>
      </c>
      <c r="S152" s="360">
        <f t="shared" si="32"/>
        <v>0</v>
      </c>
    </row>
    <row r="153" spans="1:19">
      <c r="A153" s="158"/>
      <c r="B153" s="58"/>
      <c r="C153" s="23">
        <f t="shared" si="23"/>
        <v>1</v>
      </c>
      <c r="D153" s="718"/>
      <c r="E153" s="23">
        <f t="shared" si="24"/>
        <v>0.05</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5">
        <f t="shared" si="31"/>
        <v>0</v>
      </c>
      <c r="S153" s="360">
        <f t="shared" si="32"/>
        <v>0</v>
      </c>
    </row>
    <row r="154" spans="1:19">
      <c r="A154" s="158"/>
      <c r="B154" s="58"/>
      <c r="C154" s="23">
        <f t="shared" ref="C154:C217" si="33">IF(B154="",1,(LOOKUP(B154,$3:$3,$4:$4)-LOOKUP($B$24,$3:$3,$4:$4)+100)/100)</f>
        <v>1</v>
      </c>
      <c r="D154" s="718"/>
      <c r="E154" s="23">
        <f t="shared" ref="E154:E217" si="34">(SUMIF($5:$5,D154,$6:$6)-SUMIF($5:$5,$D$24,$6:$6)+100)/100</f>
        <v>0.05</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8"/>
      <c r="E155" s="23">
        <f t="shared" si="34"/>
        <v>0.05</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5">
        <f t="shared" si="41"/>
        <v>0</v>
      </c>
      <c r="S155" s="360">
        <f t="shared" si="32"/>
        <v>0</v>
      </c>
    </row>
    <row r="156" spans="1:19">
      <c r="A156" s="158"/>
      <c r="B156" s="58"/>
      <c r="C156" s="23">
        <f t="shared" si="33"/>
        <v>1</v>
      </c>
      <c r="D156" s="718"/>
      <c r="E156" s="23">
        <f t="shared" si="34"/>
        <v>0.05</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5">
        <f t="shared" si="41"/>
        <v>0</v>
      </c>
      <c r="S156" s="360">
        <f t="shared" si="32"/>
        <v>0</v>
      </c>
    </row>
    <row r="157" spans="1:19">
      <c r="A157" s="158"/>
      <c r="B157" s="58"/>
      <c r="C157" s="23">
        <f t="shared" si="33"/>
        <v>1</v>
      </c>
      <c r="D157" s="718"/>
      <c r="E157" s="23">
        <f t="shared" si="34"/>
        <v>0.05</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5">
        <f t="shared" si="41"/>
        <v>0</v>
      </c>
      <c r="S157" s="360">
        <f t="shared" si="32"/>
        <v>0</v>
      </c>
    </row>
    <row r="158" spans="1:19">
      <c r="A158" s="158"/>
      <c r="B158" s="58"/>
      <c r="C158" s="23">
        <f t="shared" si="33"/>
        <v>1</v>
      </c>
      <c r="D158" s="718"/>
      <c r="E158" s="23">
        <f t="shared" si="34"/>
        <v>0.05</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5">
        <f t="shared" si="41"/>
        <v>0</v>
      </c>
      <c r="S158" s="360">
        <f t="shared" si="32"/>
        <v>0</v>
      </c>
    </row>
    <row r="159" spans="1:19">
      <c r="A159" s="158"/>
      <c r="B159" s="58"/>
      <c r="C159" s="23">
        <f t="shared" si="33"/>
        <v>1</v>
      </c>
      <c r="D159" s="718"/>
      <c r="E159" s="23">
        <f t="shared" si="34"/>
        <v>0.05</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5">
        <f t="shared" si="41"/>
        <v>0</v>
      </c>
      <c r="S159" s="360">
        <f t="shared" si="32"/>
        <v>0</v>
      </c>
    </row>
    <row r="160" spans="1:19">
      <c r="A160" s="158"/>
      <c r="B160" s="58"/>
      <c r="C160" s="23">
        <f t="shared" si="33"/>
        <v>1</v>
      </c>
      <c r="D160" s="718"/>
      <c r="E160" s="23">
        <f t="shared" si="34"/>
        <v>0.05</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5">
        <f t="shared" si="41"/>
        <v>0</v>
      </c>
      <c r="S160" s="360">
        <f t="shared" si="32"/>
        <v>0</v>
      </c>
    </row>
    <row r="161" spans="1:19">
      <c r="A161" s="158"/>
      <c r="B161" s="58"/>
      <c r="C161" s="23">
        <f t="shared" si="33"/>
        <v>1</v>
      </c>
      <c r="D161" s="718"/>
      <c r="E161" s="23">
        <f t="shared" si="34"/>
        <v>0.05</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5">
        <f t="shared" si="41"/>
        <v>0</v>
      </c>
      <c r="S161" s="360">
        <f t="shared" si="32"/>
        <v>0</v>
      </c>
    </row>
    <row r="162" spans="1:19">
      <c r="A162" s="158"/>
      <c r="B162" s="58"/>
      <c r="C162" s="23">
        <f t="shared" si="33"/>
        <v>1</v>
      </c>
      <c r="D162" s="718"/>
      <c r="E162" s="23">
        <f t="shared" si="34"/>
        <v>0.05</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5">
        <f t="shared" si="41"/>
        <v>0</v>
      </c>
      <c r="S162" s="360">
        <f t="shared" si="32"/>
        <v>0</v>
      </c>
    </row>
    <row r="163" spans="1:19">
      <c r="A163" s="158"/>
      <c r="B163" s="58"/>
      <c r="C163" s="23">
        <f t="shared" si="33"/>
        <v>1</v>
      </c>
      <c r="D163" s="718"/>
      <c r="E163" s="23">
        <f t="shared" si="34"/>
        <v>0.05</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5">
        <f t="shared" si="41"/>
        <v>0</v>
      </c>
      <c r="S163" s="360">
        <f t="shared" si="32"/>
        <v>0</v>
      </c>
    </row>
    <row r="164" spans="1:19">
      <c r="A164" s="158"/>
      <c r="B164" s="58"/>
      <c r="C164" s="23">
        <f t="shared" si="33"/>
        <v>1</v>
      </c>
      <c r="D164" s="718"/>
      <c r="E164" s="23">
        <f t="shared" si="34"/>
        <v>0.05</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5">
        <f t="shared" si="41"/>
        <v>0</v>
      </c>
      <c r="S164" s="360">
        <f t="shared" si="32"/>
        <v>0</v>
      </c>
    </row>
    <row r="165" spans="1:19">
      <c r="A165" s="158"/>
      <c r="B165" s="58"/>
      <c r="C165" s="23">
        <f t="shared" si="33"/>
        <v>1</v>
      </c>
      <c r="D165" s="718"/>
      <c r="E165" s="23">
        <f t="shared" si="34"/>
        <v>0.05</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5">
        <f t="shared" si="41"/>
        <v>0</v>
      </c>
      <c r="S165" s="360">
        <f t="shared" si="32"/>
        <v>0</v>
      </c>
    </row>
    <row r="166" spans="1:19">
      <c r="A166" s="158"/>
      <c r="B166" s="58"/>
      <c r="C166" s="23">
        <f t="shared" si="33"/>
        <v>1</v>
      </c>
      <c r="D166" s="718"/>
      <c r="E166" s="23">
        <f t="shared" si="34"/>
        <v>0.05</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5">
        <f t="shared" si="41"/>
        <v>0</v>
      </c>
      <c r="S166" s="360">
        <f t="shared" si="32"/>
        <v>0</v>
      </c>
    </row>
    <row r="167" spans="1:19">
      <c r="A167" s="158"/>
      <c r="B167" s="58"/>
      <c r="C167" s="23">
        <f t="shared" si="33"/>
        <v>1</v>
      </c>
      <c r="D167" s="718"/>
      <c r="E167" s="23">
        <f t="shared" si="34"/>
        <v>0.05</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5">
        <f t="shared" si="41"/>
        <v>0</v>
      </c>
      <c r="S167" s="360">
        <f t="shared" si="32"/>
        <v>0</v>
      </c>
    </row>
    <row r="168" spans="1:19">
      <c r="A168" s="158"/>
      <c r="B168" s="58"/>
      <c r="C168" s="23">
        <f t="shared" si="33"/>
        <v>1</v>
      </c>
      <c r="D168" s="718"/>
      <c r="E168" s="23">
        <f t="shared" si="34"/>
        <v>0.05</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5">
        <f t="shared" si="41"/>
        <v>0</v>
      </c>
      <c r="S168" s="360">
        <f t="shared" si="32"/>
        <v>0</v>
      </c>
    </row>
    <row r="169" spans="1:19">
      <c r="A169" s="158"/>
      <c r="B169" s="58"/>
      <c r="C169" s="23">
        <f t="shared" si="33"/>
        <v>1</v>
      </c>
      <c r="D169" s="718"/>
      <c r="E169" s="23">
        <f t="shared" si="34"/>
        <v>0.05</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5">
        <f t="shared" si="41"/>
        <v>0</v>
      </c>
      <c r="S169" s="360">
        <f t="shared" si="32"/>
        <v>0</v>
      </c>
    </row>
    <row r="170" spans="1:19">
      <c r="A170" s="158"/>
      <c r="B170" s="58"/>
      <c r="C170" s="23">
        <f t="shared" si="33"/>
        <v>1</v>
      </c>
      <c r="D170" s="718"/>
      <c r="E170" s="23">
        <f t="shared" si="34"/>
        <v>0.05</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5">
        <f t="shared" si="41"/>
        <v>0</v>
      </c>
      <c r="S170" s="360">
        <f t="shared" si="32"/>
        <v>0</v>
      </c>
    </row>
    <row r="171" spans="1:19">
      <c r="A171" s="158"/>
      <c r="B171" s="58"/>
      <c r="C171" s="23">
        <f t="shared" si="33"/>
        <v>1</v>
      </c>
      <c r="D171" s="718"/>
      <c r="E171" s="23">
        <f t="shared" si="34"/>
        <v>0.05</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5">
        <f t="shared" si="41"/>
        <v>0</v>
      </c>
      <c r="S171" s="360">
        <f t="shared" si="32"/>
        <v>0</v>
      </c>
    </row>
    <row r="172" spans="1:19">
      <c r="A172" s="158"/>
      <c r="B172" s="58"/>
      <c r="C172" s="23">
        <f t="shared" si="33"/>
        <v>1</v>
      </c>
      <c r="D172" s="718"/>
      <c r="E172" s="23">
        <f t="shared" si="34"/>
        <v>0.05</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5">
        <f t="shared" si="41"/>
        <v>0</v>
      </c>
      <c r="S172" s="360">
        <f t="shared" si="32"/>
        <v>0</v>
      </c>
    </row>
    <row r="173" spans="1:19">
      <c r="A173" s="158"/>
      <c r="B173" s="58"/>
      <c r="C173" s="23">
        <f t="shared" si="33"/>
        <v>1</v>
      </c>
      <c r="D173" s="718"/>
      <c r="E173" s="23">
        <f t="shared" si="34"/>
        <v>0.05</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5">
        <f t="shared" si="41"/>
        <v>0</v>
      </c>
      <c r="S173" s="360">
        <f t="shared" si="32"/>
        <v>0</v>
      </c>
    </row>
    <row r="174" spans="1:19">
      <c r="A174" s="158"/>
      <c r="B174" s="58"/>
      <c r="C174" s="23">
        <f t="shared" si="33"/>
        <v>1</v>
      </c>
      <c r="D174" s="718"/>
      <c r="E174" s="23">
        <f t="shared" si="34"/>
        <v>0.05</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5">
        <f t="shared" si="41"/>
        <v>0</v>
      </c>
      <c r="S174" s="360">
        <f t="shared" si="32"/>
        <v>0</v>
      </c>
    </row>
    <row r="175" spans="1:19">
      <c r="A175" s="158"/>
      <c r="B175" s="58"/>
      <c r="C175" s="23">
        <f t="shared" si="33"/>
        <v>1</v>
      </c>
      <c r="D175" s="718"/>
      <c r="E175" s="23">
        <f t="shared" si="34"/>
        <v>0.05</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5">
        <f t="shared" si="41"/>
        <v>0</v>
      </c>
      <c r="S175" s="360">
        <f t="shared" si="32"/>
        <v>0</v>
      </c>
    </row>
    <row r="176" spans="1:19">
      <c r="A176" s="158"/>
      <c r="B176" s="58"/>
      <c r="C176" s="23">
        <f t="shared" si="33"/>
        <v>1</v>
      </c>
      <c r="D176" s="718"/>
      <c r="E176" s="23">
        <f t="shared" si="34"/>
        <v>0.05</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5">
        <f t="shared" si="41"/>
        <v>0</v>
      </c>
      <c r="S176" s="360">
        <f t="shared" si="32"/>
        <v>0</v>
      </c>
    </row>
    <row r="177" spans="1:19">
      <c r="A177" s="158"/>
      <c r="B177" s="58"/>
      <c r="C177" s="23">
        <f t="shared" si="33"/>
        <v>1</v>
      </c>
      <c r="D177" s="718"/>
      <c r="E177" s="23">
        <f t="shared" si="34"/>
        <v>0.05</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5">
        <f t="shared" si="41"/>
        <v>0</v>
      </c>
      <c r="S177" s="360">
        <f t="shared" si="32"/>
        <v>0</v>
      </c>
    </row>
    <row r="178" spans="1:19">
      <c r="A178" s="158"/>
      <c r="B178" s="58"/>
      <c r="C178" s="23">
        <f t="shared" si="33"/>
        <v>1</v>
      </c>
      <c r="D178" s="718"/>
      <c r="E178" s="23">
        <f t="shared" si="34"/>
        <v>0.05</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5">
        <f t="shared" si="41"/>
        <v>0</v>
      </c>
      <c r="S178" s="360">
        <f t="shared" si="32"/>
        <v>0</v>
      </c>
    </row>
    <row r="179" spans="1:19">
      <c r="A179" s="158"/>
      <c r="B179" s="58"/>
      <c r="C179" s="23">
        <f t="shared" si="33"/>
        <v>1</v>
      </c>
      <c r="D179" s="718"/>
      <c r="E179" s="23">
        <f t="shared" si="34"/>
        <v>0.05</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5">
        <f t="shared" si="41"/>
        <v>0</v>
      </c>
      <c r="S179" s="360">
        <f t="shared" si="32"/>
        <v>0</v>
      </c>
    </row>
    <row r="180" spans="1:19">
      <c r="A180" s="158"/>
      <c r="B180" s="58"/>
      <c r="C180" s="23">
        <f t="shared" si="33"/>
        <v>1</v>
      </c>
      <c r="D180" s="718"/>
      <c r="E180" s="23">
        <f t="shared" si="34"/>
        <v>0.05</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5">
        <f t="shared" si="41"/>
        <v>0</v>
      </c>
      <c r="S180" s="360">
        <f t="shared" si="32"/>
        <v>0</v>
      </c>
    </row>
    <row r="181" spans="1:19">
      <c r="A181" s="158"/>
      <c r="B181" s="58"/>
      <c r="C181" s="23">
        <f t="shared" si="33"/>
        <v>1</v>
      </c>
      <c r="D181" s="718"/>
      <c r="E181" s="23">
        <f t="shared" si="34"/>
        <v>0.05</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5">
        <f t="shared" si="41"/>
        <v>0</v>
      </c>
      <c r="S181" s="360">
        <f t="shared" si="32"/>
        <v>0</v>
      </c>
    </row>
    <row r="182" spans="1:19">
      <c r="A182" s="158"/>
      <c r="B182" s="58"/>
      <c r="C182" s="23">
        <f t="shared" si="33"/>
        <v>1</v>
      </c>
      <c r="D182" s="718"/>
      <c r="E182" s="23">
        <f t="shared" si="34"/>
        <v>0.05</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5">
        <f t="shared" si="41"/>
        <v>0</v>
      </c>
      <c r="S182" s="360">
        <f t="shared" si="32"/>
        <v>0</v>
      </c>
    </row>
    <row r="183" spans="1:19">
      <c r="A183" s="158"/>
      <c r="B183" s="58"/>
      <c r="C183" s="23">
        <f t="shared" si="33"/>
        <v>1</v>
      </c>
      <c r="D183" s="718"/>
      <c r="E183" s="23">
        <f t="shared" si="34"/>
        <v>0.05</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5">
        <f t="shared" si="41"/>
        <v>0</v>
      </c>
      <c r="S183" s="360">
        <f t="shared" si="32"/>
        <v>0</v>
      </c>
    </row>
    <row r="184" spans="1:19">
      <c r="A184" s="158"/>
      <c r="B184" s="58"/>
      <c r="C184" s="23">
        <f t="shared" si="33"/>
        <v>1</v>
      </c>
      <c r="D184" s="718"/>
      <c r="E184" s="23">
        <f t="shared" si="34"/>
        <v>0.05</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5">
        <f t="shared" si="41"/>
        <v>0</v>
      </c>
      <c r="S184" s="360">
        <f t="shared" si="32"/>
        <v>0</v>
      </c>
    </row>
    <row r="185" spans="1:19">
      <c r="A185" s="158"/>
      <c r="B185" s="58"/>
      <c r="C185" s="23">
        <f t="shared" si="33"/>
        <v>1</v>
      </c>
      <c r="D185" s="718"/>
      <c r="E185" s="23">
        <f t="shared" si="34"/>
        <v>0.05</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5">
        <f t="shared" si="41"/>
        <v>0</v>
      </c>
      <c r="S185" s="360">
        <f t="shared" si="32"/>
        <v>0</v>
      </c>
    </row>
    <row r="186" spans="1:19">
      <c r="A186" s="158"/>
      <c r="B186" s="58"/>
      <c r="C186" s="23">
        <f t="shared" si="33"/>
        <v>1</v>
      </c>
      <c r="D186" s="718"/>
      <c r="E186" s="23">
        <f t="shared" si="34"/>
        <v>0.05</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5">
        <f t="shared" si="41"/>
        <v>0</v>
      </c>
      <c r="S186" s="360">
        <f t="shared" si="32"/>
        <v>0</v>
      </c>
    </row>
    <row r="187" spans="1:19">
      <c r="A187" s="158"/>
      <c r="B187" s="58"/>
      <c r="C187" s="23">
        <f t="shared" si="33"/>
        <v>1</v>
      </c>
      <c r="D187" s="718"/>
      <c r="E187" s="23">
        <f t="shared" si="34"/>
        <v>0.05</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5">
        <f t="shared" si="41"/>
        <v>0</v>
      </c>
      <c r="S187" s="360">
        <f t="shared" ref="S187:S222" si="42">ROUND(R187*B187/10000,0)</f>
        <v>0</v>
      </c>
    </row>
    <row r="188" spans="1:19">
      <c r="A188" s="158"/>
      <c r="B188" s="58"/>
      <c r="C188" s="23">
        <f t="shared" si="33"/>
        <v>1</v>
      </c>
      <c r="D188" s="718"/>
      <c r="E188" s="23">
        <f t="shared" si="34"/>
        <v>0.05</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5">
        <f t="shared" si="41"/>
        <v>0</v>
      </c>
      <c r="S188" s="360">
        <f t="shared" si="42"/>
        <v>0</v>
      </c>
    </row>
    <row r="189" spans="1:19">
      <c r="A189" s="158"/>
      <c r="B189" s="58"/>
      <c r="C189" s="23">
        <f t="shared" si="33"/>
        <v>1</v>
      </c>
      <c r="D189" s="718"/>
      <c r="E189" s="23">
        <f t="shared" si="34"/>
        <v>0.05</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5">
        <f t="shared" si="41"/>
        <v>0</v>
      </c>
      <c r="S189" s="360">
        <f t="shared" si="42"/>
        <v>0</v>
      </c>
    </row>
    <row r="190" spans="1:19">
      <c r="A190" s="158"/>
      <c r="B190" s="58"/>
      <c r="C190" s="23">
        <f t="shared" si="33"/>
        <v>1</v>
      </c>
      <c r="D190" s="718"/>
      <c r="E190" s="23">
        <f t="shared" si="34"/>
        <v>0.05</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5">
        <f t="shared" si="41"/>
        <v>0</v>
      </c>
      <c r="S190" s="360">
        <f t="shared" si="42"/>
        <v>0</v>
      </c>
    </row>
    <row r="191" spans="1:19">
      <c r="A191" s="158"/>
      <c r="B191" s="58"/>
      <c r="C191" s="23">
        <f t="shared" si="33"/>
        <v>1</v>
      </c>
      <c r="D191" s="718"/>
      <c r="E191" s="23">
        <f t="shared" si="34"/>
        <v>0.05</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5">
        <f t="shared" si="41"/>
        <v>0</v>
      </c>
      <c r="S191" s="360">
        <f t="shared" si="42"/>
        <v>0</v>
      </c>
    </row>
    <row r="192" spans="1:19">
      <c r="A192" s="158"/>
      <c r="B192" s="58"/>
      <c r="C192" s="23">
        <f t="shared" si="33"/>
        <v>1</v>
      </c>
      <c r="D192" s="718"/>
      <c r="E192" s="23">
        <f t="shared" si="34"/>
        <v>0.05</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5">
        <f t="shared" si="41"/>
        <v>0</v>
      </c>
      <c r="S192" s="360">
        <f t="shared" si="42"/>
        <v>0</v>
      </c>
    </row>
    <row r="193" spans="1:19">
      <c r="A193" s="158"/>
      <c r="B193" s="58"/>
      <c r="C193" s="23">
        <f t="shared" si="33"/>
        <v>1</v>
      </c>
      <c r="D193" s="718"/>
      <c r="E193" s="23">
        <f t="shared" si="34"/>
        <v>0.05</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5">
        <f t="shared" si="41"/>
        <v>0</v>
      </c>
      <c r="S193" s="360">
        <f t="shared" si="42"/>
        <v>0</v>
      </c>
    </row>
    <row r="194" spans="1:19">
      <c r="A194" s="158"/>
      <c r="B194" s="58"/>
      <c r="C194" s="23">
        <f t="shared" si="33"/>
        <v>1</v>
      </c>
      <c r="D194" s="718"/>
      <c r="E194" s="23">
        <f t="shared" si="34"/>
        <v>0.05</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5">
        <f t="shared" si="41"/>
        <v>0</v>
      </c>
      <c r="S194" s="360">
        <f t="shared" si="42"/>
        <v>0</v>
      </c>
    </row>
    <row r="195" spans="1:19">
      <c r="A195" s="158"/>
      <c r="B195" s="58"/>
      <c r="C195" s="23">
        <f t="shared" si="33"/>
        <v>1</v>
      </c>
      <c r="D195" s="718"/>
      <c r="E195" s="23">
        <f t="shared" si="34"/>
        <v>0.05</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5">
        <f t="shared" si="41"/>
        <v>0</v>
      </c>
      <c r="S195" s="360">
        <f t="shared" si="42"/>
        <v>0</v>
      </c>
    </row>
    <row r="196" spans="1:19">
      <c r="A196" s="158"/>
      <c r="B196" s="58"/>
      <c r="C196" s="23">
        <f t="shared" si="33"/>
        <v>1</v>
      </c>
      <c r="D196" s="718"/>
      <c r="E196" s="23">
        <f t="shared" si="34"/>
        <v>0.05</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5">
        <f t="shared" si="41"/>
        <v>0</v>
      </c>
      <c r="S196" s="360">
        <f t="shared" si="42"/>
        <v>0</v>
      </c>
    </row>
    <row r="197" spans="1:19">
      <c r="A197" s="158"/>
      <c r="B197" s="58"/>
      <c r="C197" s="23">
        <f t="shared" si="33"/>
        <v>1</v>
      </c>
      <c r="D197" s="718"/>
      <c r="E197" s="23">
        <f t="shared" si="34"/>
        <v>0.05</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5">
        <f t="shared" si="41"/>
        <v>0</v>
      </c>
      <c r="S197" s="360">
        <f t="shared" si="42"/>
        <v>0</v>
      </c>
    </row>
    <row r="198" spans="1:19">
      <c r="A198" s="158"/>
      <c r="B198" s="58"/>
      <c r="C198" s="23">
        <f t="shared" si="33"/>
        <v>1</v>
      </c>
      <c r="D198" s="718"/>
      <c r="E198" s="23">
        <f t="shared" si="34"/>
        <v>0.05</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5">
        <f t="shared" si="41"/>
        <v>0</v>
      </c>
      <c r="S198" s="360">
        <f t="shared" si="42"/>
        <v>0</v>
      </c>
    </row>
    <row r="199" spans="1:19">
      <c r="A199" s="158"/>
      <c r="B199" s="58"/>
      <c r="C199" s="23">
        <f t="shared" si="33"/>
        <v>1</v>
      </c>
      <c r="D199" s="718"/>
      <c r="E199" s="23">
        <f t="shared" si="34"/>
        <v>0.05</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5">
        <f t="shared" si="41"/>
        <v>0</v>
      </c>
      <c r="S199" s="360">
        <f t="shared" si="42"/>
        <v>0</v>
      </c>
    </row>
    <row r="200" spans="1:19">
      <c r="A200" s="158"/>
      <c r="B200" s="58"/>
      <c r="C200" s="23">
        <f t="shared" si="33"/>
        <v>1</v>
      </c>
      <c r="D200" s="718"/>
      <c r="E200" s="23">
        <f t="shared" si="34"/>
        <v>0.05</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5">
        <f t="shared" si="41"/>
        <v>0</v>
      </c>
      <c r="S200" s="360">
        <f t="shared" si="42"/>
        <v>0</v>
      </c>
    </row>
    <row r="201" spans="1:19">
      <c r="A201" s="158"/>
      <c r="B201" s="58"/>
      <c r="C201" s="23">
        <f t="shared" si="33"/>
        <v>1</v>
      </c>
      <c r="D201" s="718"/>
      <c r="E201" s="23">
        <f t="shared" si="34"/>
        <v>0.05</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5">
        <f t="shared" si="41"/>
        <v>0</v>
      </c>
      <c r="S201" s="360">
        <f t="shared" si="42"/>
        <v>0</v>
      </c>
    </row>
    <row r="202" spans="1:19">
      <c r="A202" s="158"/>
      <c r="B202" s="58"/>
      <c r="C202" s="23">
        <f t="shared" si="33"/>
        <v>1</v>
      </c>
      <c r="D202" s="718"/>
      <c r="E202" s="23">
        <f t="shared" si="34"/>
        <v>0.05</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5">
        <f t="shared" si="41"/>
        <v>0</v>
      </c>
      <c r="S202" s="360">
        <f t="shared" si="42"/>
        <v>0</v>
      </c>
    </row>
    <row r="203" spans="1:19">
      <c r="A203" s="158"/>
      <c r="B203" s="58"/>
      <c r="C203" s="23">
        <f t="shared" si="33"/>
        <v>1</v>
      </c>
      <c r="D203" s="718"/>
      <c r="E203" s="23">
        <f t="shared" si="34"/>
        <v>0.05</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5">
        <f t="shared" si="41"/>
        <v>0</v>
      </c>
      <c r="S203" s="360">
        <f t="shared" si="42"/>
        <v>0</v>
      </c>
    </row>
    <row r="204" spans="1:19">
      <c r="A204" s="158"/>
      <c r="B204" s="58"/>
      <c r="C204" s="23">
        <f t="shared" si="33"/>
        <v>1</v>
      </c>
      <c r="D204" s="718"/>
      <c r="E204" s="23">
        <f t="shared" si="34"/>
        <v>0.05</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5">
        <f t="shared" si="41"/>
        <v>0</v>
      </c>
      <c r="S204" s="360">
        <f t="shared" si="42"/>
        <v>0</v>
      </c>
    </row>
    <row r="205" spans="1:19">
      <c r="A205" s="158"/>
      <c r="B205" s="58"/>
      <c r="C205" s="23">
        <f t="shared" si="33"/>
        <v>1</v>
      </c>
      <c r="D205" s="718"/>
      <c r="E205" s="23">
        <f t="shared" si="34"/>
        <v>0.05</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5">
        <f t="shared" si="41"/>
        <v>0</v>
      </c>
      <c r="S205" s="360">
        <f t="shared" si="42"/>
        <v>0</v>
      </c>
    </row>
    <row r="206" spans="1:19">
      <c r="A206" s="158"/>
      <c r="B206" s="58"/>
      <c r="C206" s="23">
        <f t="shared" si="33"/>
        <v>1</v>
      </c>
      <c r="D206" s="718"/>
      <c r="E206" s="23">
        <f t="shared" si="34"/>
        <v>0.05</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5">
        <f t="shared" si="41"/>
        <v>0</v>
      </c>
      <c r="S206" s="360">
        <f t="shared" si="42"/>
        <v>0</v>
      </c>
    </row>
    <row r="207" spans="1:19">
      <c r="A207" s="158"/>
      <c r="B207" s="58"/>
      <c r="C207" s="23">
        <f t="shared" si="33"/>
        <v>1</v>
      </c>
      <c r="D207" s="718"/>
      <c r="E207" s="23">
        <f t="shared" si="34"/>
        <v>0.05</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5">
        <f t="shared" si="41"/>
        <v>0</v>
      </c>
      <c r="S207" s="360">
        <f t="shared" si="42"/>
        <v>0</v>
      </c>
    </row>
    <row r="208" spans="1:19">
      <c r="A208" s="158"/>
      <c r="B208" s="58"/>
      <c r="C208" s="23">
        <f t="shared" si="33"/>
        <v>1</v>
      </c>
      <c r="D208" s="718"/>
      <c r="E208" s="23">
        <f t="shared" si="34"/>
        <v>0.05</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5">
        <f t="shared" si="41"/>
        <v>0</v>
      </c>
      <c r="S208" s="360">
        <f t="shared" si="42"/>
        <v>0</v>
      </c>
    </row>
    <row r="209" spans="1:19">
      <c r="A209" s="158"/>
      <c r="B209" s="58"/>
      <c r="C209" s="23">
        <f t="shared" si="33"/>
        <v>1</v>
      </c>
      <c r="D209" s="718"/>
      <c r="E209" s="23">
        <f t="shared" si="34"/>
        <v>0.05</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5">
        <f t="shared" si="41"/>
        <v>0</v>
      </c>
      <c r="S209" s="360">
        <f t="shared" si="42"/>
        <v>0</v>
      </c>
    </row>
    <row r="210" spans="1:19">
      <c r="A210" s="158"/>
      <c r="B210" s="58"/>
      <c r="C210" s="23">
        <f t="shared" si="33"/>
        <v>1</v>
      </c>
      <c r="D210" s="718"/>
      <c r="E210" s="23">
        <f t="shared" si="34"/>
        <v>0.05</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5">
        <f t="shared" si="41"/>
        <v>0</v>
      </c>
      <c r="S210" s="360">
        <f t="shared" si="42"/>
        <v>0</v>
      </c>
    </row>
    <row r="211" spans="1:19">
      <c r="A211" s="158"/>
      <c r="B211" s="58"/>
      <c r="C211" s="23">
        <f t="shared" si="33"/>
        <v>1</v>
      </c>
      <c r="D211" s="718"/>
      <c r="E211" s="23">
        <f t="shared" si="34"/>
        <v>0.05</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5">
        <f t="shared" si="41"/>
        <v>0</v>
      </c>
      <c r="S211" s="360">
        <f t="shared" si="42"/>
        <v>0</v>
      </c>
    </row>
    <row r="212" spans="1:19">
      <c r="A212" s="158"/>
      <c r="B212" s="58"/>
      <c r="C212" s="23">
        <f t="shared" si="33"/>
        <v>1</v>
      </c>
      <c r="D212" s="718"/>
      <c r="E212" s="23">
        <f t="shared" si="34"/>
        <v>0.05</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5">
        <f t="shared" si="41"/>
        <v>0</v>
      </c>
      <c r="S212" s="360">
        <f t="shared" si="42"/>
        <v>0</v>
      </c>
    </row>
    <row r="213" spans="1:19">
      <c r="A213" s="158"/>
      <c r="B213" s="58"/>
      <c r="C213" s="23">
        <f t="shared" si="33"/>
        <v>1</v>
      </c>
      <c r="D213" s="718"/>
      <c r="E213" s="23">
        <f t="shared" si="34"/>
        <v>0.05</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5">
        <f t="shared" si="41"/>
        <v>0</v>
      </c>
      <c r="S213" s="360">
        <f t="shared" si="42"/>
        <v>0</v>
      </c>
    </row>
    <row r="214" spans="1:19">
      <c r="A214" s="158"/>
      <c r="B214" s="58"/>
      <c r="C214" s="23">
        <f t="shared" si="33"/>
        <v>1</v>
      </c>
      <c r="D214" s="718"/>
      <c r="E214" s="23">
        <f t="shared" si="34"/>
        <v>0.05</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5">
        <f t="shared" si="41"/>
        <v>0</v>
      </c>
      <c r="S214" s="360">
        <f t="shared" si="42"/>
        <v>0</v>
      </c>
    </row>
    <row r="215" spans="1:19">
      <c r="A215" s="158"/>
      <c r="B215" s="58"/>
      <c r="C215" s="23">
        <f t="shared" si="33"/>
        <v>1</v>
      </c>
      <c r="D215" s="718"/>
      <c r="E215" s="23">
        <f t="shared" si="34"/>
        <v>0.05</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5">
        <f t="shared" si="41"/>
        <v>0</v>
      </c>
      <c r="S215" s="360">
        <f t="shared" si="42"/>
        <v>0</v>
      </c>
    </row>
    <row r="216" spans="1:19">
      <c r="A216" s="158"/>
      <c r="B216" s="58"/>
      <c r="C216" s="23">
        <f t="shared" si="33"/>
        <v>1</v>
      </c>
      <c r="D216" s="718"/>
      <c r="E216" s="23">
        <f t="shared" si="34"/>
        <v>0.05</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5">
        <f t="shared" si="41"/>
        <v>0</v>
      </c>
      <c r="S216" s="360">
        <f t="shared" si="42"/>
        <v>0</v>
      </c>
    </row>
    <row r="217" spans="1:19">
      <c r="A217" s="158"/>
      <c r="B217" s="58"/>
      <c r="C217" s="23">
        <f t="shared" si="33"/>
        <v>1</v>
      </c>
      <c r="D217" s="718"/>
      <c r="E217" s="23">
        <f t="shared" si="34"/>
        <v>0.05</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5">
        <f t="shared" si="41"/>
        <v>0</v>
      </c>
      <c r="S217" s="360">
        <f t="shared" si="42"/>
        <v>0</v>
      </c>
    </row>
    <row r="218" spans="1:19">
      <c r="A218" s="158"/>
      <c r="B218" s="58"/>
      <c r="C218" s="23">
        <f t="shared" ref="C218:C281" si="43">IF(B218="",1,(LOOKUP(B218,$3:$3,$4:$4)-LOOKUP($B$24,$3:$3,$4:$4)+100)/100)</f>
        <v>1</v>
      </c>
      <c r="D218" s="718"/>
      <c r="E218" s="23">
        <f t="shared" ref="E218:E281" si="44">(SUMIF($5:$5,D218,$6:$6)-SUMIF($5:$5,$D$24,$6:$6)+100)/100</f>
        <v>0.05</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8"/>
      <c r="E219" s="23">
        <f t="shared" si="44"/>
        <v>0.05</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5">
        <f t="shared" si="51"/>
        <v>0</v>
      </c>
      <c r="S219" s="360">
        <f t="shared" si="42"/>
        <v>0</v>
      </c>
    </row>
    <row r="220" spans="1:19">
      <c r="A220" s="158"/>
      <c r="B220" s="58"/>
      <c r="C220" s="23">
        <f t="shared" si="43"/>
        <v>1</v>
      </c>
      <c r="D220" s="718"/>
      <c r="E220" s="23">
        <f t="shared" si="44"/>
        <v>0.05</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5">
        <f t="shared" si="51"/>
        <v>0</v>
      </c>
      <c r="S220" s="360">
        <f t="shared" si="42"/>
        <v>0</v>
      </c>
    </row>
    <row r="221" spans="1:19">
      <c r="A221" s="158"/>
      <c r="B221" s="58"/>
      <c r="C221" s="23">
        <f t="shared" si="43"/>
        <v>1</v>
      </c>
      <c r="D221" s="718"/>
      <c r="E221" s="23">
        <f t="shared" si="44"/>
        <v>0.05</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5">
        <f t="shared" si="51"/>
        <v>0</v>
      </c>
      <c r="S221" s="360">
        <f t="shared" si="42"/>
        <v>0</v>
      </c>
    </row>
    <row r="222" spans="1:19">
      <c r="A222" s="158"/>
      <c r="B222" s="58"/>
      <c r="C222" s="23">
        <f t="shared" si="43"/>
        <v>1</v>
      </c>
      <c r="D222" s="718"/>
      <c r="E222" s="23">
        <f t="shared" si="44"/>
        <v>0.05</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5">
        <f t="shared" si="51"/>
        <v>0</v>
      </c>
      <c r="S222" s="360">
        <f t="shared" si="42"/>
        <v>0</v>
      </c>
    </row>
    <row r="223" spans="1:19">
      <c r="A223" s="158"/>
      <c r="B223" s="58"/>
      <c r="C223" s="23">
        <f t="shared" si="43"/>
        <v>1</v>
      </c>
      <c r="D223" s="718"/>
      <c r="E223" s="23">
        <f t="shared" si="44"/>
        <v>0.05</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5">
        <f t="shared" si="51"/>
        <v>0</v>
      </c>
      <c r="S223" s="360">
        <f t="shared" ref="S223:S286" si="52">ROUND(R223*B223/10000,0)</f>
        <v>0</v>
      </c>
    </row>
    <row r="224" spans="1:19">
      <c r="A224" s="158"/>
      <c r="B224" s="58"/>
      <c r="C224" s="23">
        <f t="shared" si="43"/>
        <v>1</v>
      </c>
      <c r="D224" s="718"/>
      <c r="E224" s="23">
        <f t="shared" si="44"/>
        <v>0.05</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5">
        <f t="shared" si="51"/>
        <v>0</v>
      </c>
      <c r="S224" s="360">
        <f t="shared" si="52"/>
        <v>0</v>
      </c>
    </row>
    <row r="225" spans="1:19">
      <c r="A225" s="158"/>
      <c r="B225" s="58"/>
      <c r="C225" s="23">
        <f t="shared" si="43"/>
        <v>1</v>
      </c>
      <c r="D225" s="718"/>
      <c r="E225" s="23">
        <f t="shared" si="44"/>
        <v>0.05</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5">
        <f t="shared" si="51"/>
        <v>0</v>
      </c>
      <c r="S225" s="360">
        <f t="shared" si="52"/>
        <v>0</v>
      </c>
    </row>
    <row r="226" spans="1:19">
      <c r="A226" s="158"/>
      <c r="B226" s="58"/>
      <c r="C226" s="23">
        <f t="shared" si="43"/>
        <v>1</v>
      </c>
      <c r="D226" s="718"/>
      <c r="E226" s="23">
        <f t="shared" si="44"/>
        <v>0.05</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5">
        <f t="shared" si="51"/>
        <v>0</v>
      </c>
      <c r="S226" s="360">
        <f t="shared" si="52"/>
        <v>0</v>
      </c>
    </row>
    <row r="227" spans="1:19">
      <c r="A227" s="158"/>
      <c r="B227" s="58"/>
      <c r="C227" s="23">
        <f t="shared" si="43"/>
        <v>1</v>
      </c>
      <c r="D227" s="718"/>
      <c r="E227" s="23">
        <f t="shared" si="44"/>
        <v>0.05</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5">
        <f t="shared" si="51"/>
        <v>0</v>
      </c>
      <c r="S227" s="360">
        <f t="shared" si="52"/>
        <v>0</v>
      </c>
    </row>
    <row r="228" spans="1:19">
      <c r="A228" s="158"/>
      <c r="B228" s="58"/>
      <c r="C228" s="23">
        <f t="shared" si="43"/>
        <v>1</v>
      </c>
      <c r="D228" s="718"/>
      <c r="E228" s="23">
        <f t="shared" si="44"/>
        <v>0.05</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5">
        <f t="shared" si="51"/>
        <v>0</v>
      </c>
      <c r="S228" s="360">
        <f t="shared" si="52"/>
        <v>0</v>
      </c>
    </row>
    <row r="229" spans="1:19">
      <c r="A229" s="158"/>
      <c r="B229" s="58"/>
      <c r="C229" s="23">
        <f t="shared" si="43"/>
        <v>1</v>
      </c>
      <c r="D229" s="718"/>
      <c r="E229" s="23">
        <f t="shared" si="44"/>
        <v>0.05</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5">
        <f t="shared" si="51"/>
        <v>0</v>
      </c>
      <c r="S229" s="360">
        <f t="shared" si="52"/>
        <v>0</v>
      </c>
    </row>
    <row r="230" spans="1:19">
      <c r="A230" s="158"/>
      <c r="B230" s="58"/>
      <c r="C230" s="23">
        <f t="shared" si="43"/>
        <v>1</v>
      </c>
      <c r="D230" s="718"/>
      <c r="E230" s="23">
        <f t="shared" si="44"/>
        <v>0.05</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5">
        <f t="shared" si="51"/>
        <v>0</v>
      </c>
      <c r="S230" s="360">
        <f t="shared" si="52"/>
        <v>0</v>
      </c>
    </row>
    <row r="231" spans="1:19">
      <c r="A231" s="158"/>
      <c r="B231" s="58"/>
      <c r="C231" s="23">
        <f t="shared" si="43"/>
        <v>1</v>
      </c>
      <c r="D231" s="718"/>
      <c r="E231" s="23">
        <f t="shared" si="44"/>
        <v>0.05</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5">
        <f t="shared" si="51"/>
        <v>0</v>
      </c>
      <c r="S231" s="360">
        <f t="shared" si="52"/>
        <v>0</v>
      </c>
    </row>
    <row r="232" spans="1:19">
      <c r="A232" s="158"/>
      <c r="B232" s="58"/>
      <c r="C232" s="23">
        <f t="shared" si="43"/>
        <v>1</v>
      </c>
      <c r="D232" s="718"/>
      <c r="E232" s="23">
        <f t="shared" si="44"/>
        <v>0.05</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5">
        <f t="shared" si="51"/>
        <v>0</v>
      </c>
      <c r="S232" s="360">
        <f t="shared" si="52"/>
        <v>0</v>
      </c>
    </row>
    <row r="233" spans="1:19">
      <c r="A233" s="158"/>
      <c r="B233" s="58"/>
      <c r="C233" s="23">
        <f t="shared" si="43"/>
        <v>1</v>
      </c>
      <c r="D233" s="718"/>
      <c r="E233" s="23">
        <f t="shared" si="44"/>
        <v>0.05</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5">
        <f t="shared" si="51"/>
        <v>0</v>
      </c>
      <c r="S233" s="360">
        <f t="shared" si="52"/>
        <v>0</v>
      </c>
    </row>
    <row r="234" spans="1:19">
      <c r="A234" s="158"/>
      <c r="B234" s="58"/>
      <c r="C234" s="23">
        <f t="shared" si="43"/>
        <v>1</v>
      </c>
      <c r="D234" s="718"/>
      <c r="E234" s="23">
        <f t="shared" si="44"/>
        <v>0.05</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5">
        <f t="shared" si="51"/>
        <v>0</v>
      </c>
      <c r="S234" s="360">
        <f t="shared" si="52"/>
        <v>0</v>
      </c>
    </row>
    <row r="235" spans="1:19">
      <c r="A235" s="158"/>
      <c r="B235" s="58"/>
      <c r="C235" s="23">
        <f t="shared" si="43"/>
        <v>1</v>
      </c>
      <c r="D235" s="718"/>
      <c r="E235" s="23">
        <f t="shared" si="44"/>
        <v>0.05</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5">
        <f t="shared" si="51"/>
        <v>0</v>
      </c>
      <c r="S235" s="360">
        <f t="shared" si="52"/>
        <v>0</v>
      </c>
    </row>
    <row r="236" spans="1:19">
      <c r="A236" s="158"/>
      <c r="B236" s="58"/>
      <c r="C236" s="23">
        <f t="shared" si="43"/>
        <v>1</v>
      </c>
      <c r="D236" s="718"/>
      <c r="E236" s="23">
        <f t="shared" si="44"/>
        <v>0.05</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5">
        <f t="shared" si="51"/>
        <v>0</v>
      </c>
      <c r="S236" s="360">
        <f t="shared" si="52"/>
        <v>0</v>
      </c>
    </row>
    <row r="237" spans="1:19">
      <c r="A237" s="158"/>
      <c r="B237" s="58"/>
      <c r="C237" s="23">
        <f t="shared" si="43"/>
        <v>1</v>
      </c>
      <c r="D237" s="718"/>
      <c r="E237" s="23">
        <f t="shared" si="44"/>
        <v>0.05</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5">
        <f t="shared" si="51"/>
        <v>0</v>
      </c>
      <c r="S237" s="360">
        <f t="shared" si="52"/>
        <v>0</v>
      </c>
    </row>
    <row r="238" spans="1:19">
      <c r="A238" s="158"/>
      <c r="B238" s="58"/>
      <c r="C238" s="23">
        <f t="shared" si="43"/>
        <v>1</v>
      </c>
      <c r="D238" s="718"/>
      <c r="E238" s="23">
        <f t="shared" si="44"/>
        <v>0.05</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5">
        <f t="shared" si="51"/>
        <v>0</v>
      </c>
      <c r="S238" s="360">
        <f t="shared" si="52"/>
        <v>0</v>
      </c>
    </row>
    <row r="239" spans="1:19">
      <c r="A239" s="158"/>
      <c r="B239" s="58"/>
      <c r="C239" s="23">
        <f t="shared" si="43"/>
        <v>1</v>
      </c>
      <c r="D239" s="718"/>
      <c r="E239" s="23">
        <f t="shared" si="44"/>
        <v>0.05</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5">
        <f t="shared" si="51"/>
        <v>0</v>
      </c>
      <c r="S239" s="360">
        <f t="shared" si="52"/>
        <v>0</v>
      </c>
    </row>
    <row r="240" spans="1:19">
      <c r="A240" s="158"/>
      <c r="B240" s="58"/>
      <c r="C240" s="23">
        <f t="shared" si="43"/>
        <v>1</v>
      </c>
      <c r="D240" s="718"/>
      <c r="E240" s="23">
        <f t="shared" si="44"/>
        <v>0.05</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5">
        <f t="shared" si="51"/>
        <v>0</v>
      </c>
      <c r="S240" s="360">
        <f t="shared" si="52"/>
        <v>0</v>
      </c>
    </row>
    <row r="241" spans="1:19">
      <c r="A241" s="158"/>
      <c r="B241" s="58"/>
      <c r="C241" s="23">
        <f t="shared" si="43"/>
        <v>1</v>
      </c>
      <c r="D241" s="718"/>
      <c r="E241" s="23">
        <f t="shared" si="44"/>
        <v>0.05</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5">
        <f t="shared" si="51"/>
        <v>0</v>
      </c>
      <c r="S241" s="360">
        <f t="shared" si="52"/>
        <v>0</v>
      </c>
    </row>
    <row r="242" spans="1:19">
      <c r="A242" s="158"/>
      <c r="B242" s="58"/>
      <c r="C242" s="23">
        <f t="shared" si="43"/>
        <v>1</v>
      </c>
      <c r="D242" s="718"/>
      <c r="E242" s="23">
        <f t="shared" si="44"/>
        <v>0.05</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5">
        <f t="shared" si="51"/>
        <v>0</v>
      </c>
      <c r="S242" s="360">
        <f t="shared" si="52"/>
        <v>0</v>
      </c>
    </row>
    <row r="243" spans="1:19">
      <c r="A243" s="158"/>
      <c r="B243" s="58"/>
      <c r="C243" s="23">
        <f t="shared" si="43"/>
        <v>1</v>
      </c>
      <c r="D243" s="718"/>
      <c r="E243" s="23">
        <f t="shared" si="44"/>
        <v>0.05</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5">
        <f t="shared" si="51"/>
        <v>0</v>
      </c>
      <c r="S243" s="360">
        <f t="shared" si="52"/>
        <v>0</v>
      </c>
    </row>
    <row r="244" spans="1:19">
      <c r="A244" s="158"/>
      <c r="B244" s="58"/>
      <c r="C244" s="23">
        <f t="shared" si="43"/>
        <v>1</v>
      </c>
      <c r="D244" s="718"/>
      <c r="E244" s="23">
        <f t="shared" si="44"/>
        <v>0.05</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5">
        <f t="shared" si="51"/>
        <v>0</v>
      </c>
      <c r="S244" s="360">
        <f t="shared" si="52"/>
        <v>0</v>
      </c>
    </row>
    <row r="245" spans="1:19">
      <c r="A245" s="158"/>
      <c r="B245" s="58"/>
      <c r="C245" s="23">
        <f t="shared" si="43"/>
        <v>1</v>
      </c>
      <c r="D245" s="718"/>
      <c r="E245" s="23">
        <f t="shared" si="44"/>
        <v>0.05</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5">
        <f t="shared" si="51"/>
        <v>0</v>
      </c>
      <c r="S245" s="360">
        <f t="shared" si="52"/>
        <v>0</v>
      </c>
    </row>
    <row r="246" spans="1:19">
      <c r="A246" s="158"/>
      <c r="B246" s="58"/>
      <c r="C246" s="23">
        <f t="shared" si="43"/>
        <v>1</v>
      </c>
      <c r="D246" s="718"/>
      <c r="E246" s="23">
        <f t="shared" si="44"/>
        <v>0.05</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5">
        <f t="shared" si="51"/>
        <v>0</v>
      </c>
      <c r="S246" s="360">
        <f t="shared" si="52"/>
        <v>0</v>
      </c>
    </row>
    <row r="247" spans="1:19">
      <c r="A247" s="158"/>
      <c r="B247" s="58"/>
      <c r="C247" s="23">
        <f t="shared" si="43"/>
        <v>1</v>
      </c>
      <c r="D247" s="718"/>
      <c r="E247" s="23">
        <f t="shared" si="44"/>
        <v>0.05</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5">
        <f t="shared" si="51"/>
        <v>0</v>
      </c>
      <c r="S247" s="360">
        <f t="shared" si="52"/>
        <v>0</v>
      </c>
    </row>
    <row r="248" spans="1:19">
      <c r="A248" s="158"/>
      <c r="B248" s="58"/>
      <c r="C248" s="23">
        <f t="shared" si="43"/>
        <v>1</v>
      </c>
      <c r="D248" s="718"/>
      <c r="E248" s="23">
        <f t="shared" si="44"/>
        <v>0.05</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5">
        <f t="shared" si="51"/>
        <v>0</v>
      </c>
      <c r="S248" s="360">
        <f t="shared" si="52"/>
        <v>0</v>
      </c>
    </row>
    <row r="249" spans="1:19">
      <c r="A249" s="158"/>
      <c r="B249" s="58"/>
      <c r="C249" s="23">
        <f t="shared" si="43"/>
        <v>1</v>
      </c>
      <c r="D249" s="718"/>
      <c r="E249" s="23">
        <f t="shared" si="44"/>
        <v>0.05</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5">
        <f t="shared" si="51"/>
        <v>0</v>
      </c>
      <c r="S249" s="360">
        <f t="shared" si="52"/>
        <v>0</v>
      </c>
    </row>
    <row r="250" spans="1:19">
      <c r="A250" s="158"/>
      <c r="B250" s="58"/>
      <c r="C250" s="23">
        <f t="shared" si="43"/>
        <v>1</v>
      </c>
      <c r="D250" s="718"/>
      <c r="E250" s="23">
        <f t="shared" si="44"/>
        <v>0.05</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5">
        <f t="shared" si="51"/>
        <v>0</v>
      </c>
      <c r="S250" s="360">
        <f t="shared" si="52"/>
        <v>0</v>
      </c>
    </row>
    <row r="251" spans="1:19">
      <c r="A251" s="158"/>
      <c r="B251" s="58"/>
      <c r="C251" s="23">
        <f t="shared" si="43"/>
        <v>1</v>
      </c>
      <c r="D251" s="718"/>
      <c r="E251" s="23">
        <f t="shared" si="44"/>
        <v>0.05</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5">
        <f t="shared" si="51"/>
        <v>0</v>
      </c>
      <c r="S251" s="360">
        <f t="shared" si="52"/>
        <v>0</v>
      </c>
    </row>
    <row r="252" spans="1:19">
      <c r="A252" s="158"/>
      <c r="B252" s="58"/>
      <c r="C252" s="23">
        <f t="shared" si="43"/>
        <v>1</v>
      </c>
      <c r="D252" s="718"/>
      <c r="E252" s="23">
        <f t="shared" si="44"/>
        <v>0.05</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5">
        <f t="shared" si="51"/>
        <v>0</v>
      </c>
      <c r="S252" s="360">
        <f t="shared" si="52"/>
        <v>0</v>
      </c>
    </row>
    <row r="253" spans="1:19">
      <c r="A253" s="158"/>
      <c r="B253" s="58"/>
      <c r="C253" s="23">
        <f t="shared" si="43"/>
        <v>1</v>
      </c>
      <c r="D253" s="718"/>
      <c r="E253" s="23">
        <f t="shared" si="44"/>
        <v>0.05</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5">
        <f t="shared" si="51"/>
        <v>0</v>
      </c>
      <c r="S253" s="360">
        <f t="shared" si="52"/>
        <v>0</v>
      </c>
    </row>
    <row r="254" spans="1:19">
      <c r="A254" s="158"/>
      <c r="B254" s="58"/>
      <c r="C254" s="23">
        <f t="shared" si="43"/>
        <v>1</v>
      </c>
      <c r="D254" s="718"/>
      <c r="E254" s="23">
        <f t="shared" si="44"/>
        <v>0.05</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5">
        <f t="shared" si="51"/>
        <v>0</v>
      </c>
      <c r="S254" s="360">
        <f t="shared" si="52"/>
        <v>0</v>
      </c>
    </row>
    <row r="255" spans="1:19">
      <c r="A255" s="158"/>
      <c r="B255" s="58"/>
      <c r="C255" s="23">
        <f t="shared" si="43"/>
        <v>1</v>
      </c>
      <c r="D255" s="718"/>
      <c r="E255" s="23">
        <f t="shared" si="44"/>
        <v>0.05</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5">
        <f t="shared" si="51"/>
        <v>0</v>
      </c>
      <c r="S255" s="360">
        <f t="shared" si="52"/>
        <v>0</v>
      </c>
    </row>
    <row r="256" spans="1:19">
      <c r="A256" s="158"/>
      <c r="B256" s="58"/>
      <c r="C256" s="23">
        <f t="shared" si="43"/>
        <v>1</v>
      </c>
      <c r="D256" s="718"/>
      <c r="E256" s="23">
        <f t="shared" si="44"/>
        <v>0.05</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5">
        <f t="shared" si="51"/>
        <v>0</v>
      </c>
      <c r="S256" s="360">
        <f t="shared" si="52"/>
        <v>0</v>
      </c>
    </row>
    <row r="257" spans="1:19">
      <c r="A257" s="158"/>
      <c r="B257" s="58"/>
      <c r="C257" s="23">
        <f t="shared" si="43"/>
        <v>1</v>
      </c>
      <c r="D257" s="718"/>
      <c r="E257" s="23">
        <f t="shared" si="44"/>
        <v>0.05</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5">
        <f t="shared" si="51"/>
        <v>0</v>
      </c>
      <c r="S257" s="360">
        <f t="shared" si="52"/>
        <v>0</v>
      </c>
    </row>
    <row r="258" spans="1:19">
      <c r="A258" s="158"/>
      <c r="B258" s="58"/>
      <c r="C258" s="23">
        <f t="shared" si="43"/>
        <v>1</v>
      </c>
      <c r="D258" s="718"/>
      <c r="E258" s="23">
        <f t="shared" si="44"/>
        <v>0.05</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5">
        <f t="shared" si="51"/>
        <v>0</v>
      </c>
      <c r="S258" s="360">
        <f t="shared" si="52"/>
        <v>0</v>
      </c>
    </row>
    <row r="259" spans="1:19">
      <c r="A259" s="158"/>
      <c r="B259" s="58"/>
      <c r="C259" s="23">
        <f t="shared" si="43"/>
        <v>1</v>
      </c>
      <c r="D259" s="718"/>
      <c r="E259" s="23">
        <f t="shared" si="44"/>
        <v>0.05</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5">
        <f t="shared" si="51"/>
        <v>0</v>
      </c>
      <c r="S259" s="360">
        <f t="shared" si="52"/>
        <v>0</v>
      </c>
    </row>
    <row r="260" spans="1:19">
      <c r="A260" s="158"/>
      <c r="B260" s="58"/>
      <c r="C260" s="23">
        <f t="shared" si="43"/>
        <v>1</v>
      </c>
      <c r="D260" s="718"/>
      <c r="E260" s="23">
        <f t="shared" si="44"/>
        <v>0.05</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5">
        <f t="shared" si="51"/>
        <v>0</v>
      </c>
      <c r="S260" s="360">
        <f t="shared" si="52"/>
        <v>0</v>
      </c>
    </row>
    <row r="261" spans="1:19">
      <c r="A261" s="158"/>
      <c r="B261" s="58"/>
      <c r="C261" s="23">
        <f t="shared" si="43"/>
        <v>1</v>
      </c>
      <c r="D261" s="718"/>
      <c r="E261" s="23">
        <f t="shared" si="44"/>
        <v>0.05</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5">
        <f t="shared" si="51"/>
        <v>0</v>
      </c>
      <c r="S261" s="360">
        <f t="shared" si="52"/>
        <v>0</v>
      </c>
    </row>
    <row r="262" spans="1:19">
      <c r="A262" s="158"/>
      <c r="B262" s="58"/>
      <c r="C262" s="23">
        <f t="shared" si="43"/>
        <v>1</v>
      </c>
      <c r="D262" s="718"/>
      <c r="E262" s="23">
        <f t="shared" si="44"/>
        <v>0.05</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5">
        <f t="shared" si="51"/>
        <v>0</v>
      </c>
      <c r="S262" s="360">
        <f t="shared" si="52"/>
        <v>0</v>
      </c>
    </row>
    <row r="263" spans="1:19">
      <c r="A263" s="158"/>
      <c r="B263" s="58"/>
      <c r="C263" s="23">
        <f t="shared" si="43"/>
        <v>1</v>
      </c>
      <c r="D263" s="718"/>
      <c r="E263" s="23">
        <f t="shared" si="44"/>
        <v>0.05</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5">
        <f t="shared" si="51"/>
        <v>0</v>
      </c>
      <c r="S263" s="360">
        <f t="shared" si="52"/>
        <v>0</v>
      </c>
    </row>
    <row r="264" spans="1:19">
      <c r="A264" s="158"/>
      <c r="B264" s="58"/>
      <c r="C264" s="23">
        <f t="shared" si="43"/>
        <v>1</v>
      </c>
      <c r="D264" s="718"/>
      <c r="E264" s="23">
        <f t="shared" si="44"/>
        <v>0.05</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5">
        <f t="shared" si="51"/>
        <v>0</v>
      </c>
      <c r="S264" s="360">
        <f t="shared" si="52"/>
        <v>0</v>
      </c>
    </row>
    <row r="265" spans="1:19">
      <c r="A265" s="158"/>
      <c r="B265" s="58"/>
      <c r="C265" s="23">
        <f t="shared" si="43"/>
        <v>1</v>
      </c>
      <c r="D265" s="718"/>
      <c r="E265" s="23">
        <f t="shared" si="44"/>
        <v>0.05</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5">
        <f t="shared" si="51"/>
        <v>0</v>
      </c>
      <c r="S265" s="360">
        <f t="shared" si="52"/>
        <v>0</v>
      </c>
    </row>
    <row r="266" spans="1:19">
      <c r="A266" s="158"/>
      <c r="B266" s="58"/>
      <c r="C266" s="23">
        <f t="shared" si="43"/>
        <v>1</v>
      </c>
      <c r="D266" s="718"/>
      <c r="E266" s="23">
        <f t="shared" si="44"/>
        <v>0.05</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5">
        <f t="shared" si="51"/>
        <v>0</v>
      </c>
      <c r="S266" s="360">
        <f t="shared" si="52"/>
        <v>0</v>
      </c>
    </row>
    <row r="267" spans="1:19">
      <c r="A267" s="158"/>
      <c r="B267" s="58"/>
      <c r="C267" s="23">
        <f t="shared" si="43"/>
        <v>1</v>
      </c>
      <c r="D267" s="718"/>
      <c r="E267" s="23">
        <f t="shared" si="44"/>
        <v>0.05</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5">
        <f t="shared" si="51"/>
        <v>0</v>
      </c>
      <c r="S267" s="360">
        <f t="shared" si="52"/>
        <v>0</v>
      </c>
    </row>
    <row r="268" spans="1:19">
      <c r="A268" s="158"/>
      <c r="B268" s="58"/>
      <c r="C268" s="23">
        <f t="shared" si="43"/>
        <v>1</v>
      </c>
      <c r="D268" s="718"/>
      <c r="E268" s="23">
        <f t="shared" si="44"/>
        <v>0.05</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5">
        <f t="shared" si="51"/>
        <v>0</v>
      </c>
      <c r="S268" s="360">
        <f t="shared" si="52"/>
        <v>0</v>
      </c>
    </row>
    <row r="269" spans="1:19">
      <c r="A269" s="158"/>
      <c r="B269" s="58"/>
      <c r="C269" s="23">
        <f t="shared" si="43"/>
        <v>1</v>
      </c>
      <c r="D269" s="718"/>
      <c r="E269" s="23">
        <f t="shared" si="44"/>
        <v>0.05</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5">
        <f t="shared" si="51"/>
        <v>0</v>
      </c>
      <c r="S269" s="360">
        <f t="shared" si="52"/>
        <v>0</v>
      </c>
    </row>
    <row r="270" spans="1:19">
      <c r="A270" s="158"/>
      <c r="B270" s="58"/>
      <c r="C270" s="23">
        <f t="shared" si="43"/>
        <v>1</v>
      </c>
      <c r="D270" s="718"/>
      <c r="E270" s="23">
        <f t="shared" si="44"/>
        <v>0.05</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5">
        <f t="shared" si="51"/>
        <v>0</v>
      </c>
      <c r="S270" s="360">
        <f t="shared" si="52"/>
        <v>0</v>
      </c>
    </row>
    <row r="271" spans="1:19">
      <c r="A271" s="158"/>
      <c r="B271" s="58"/>
      <c r="C271" s="23">
        <f t="shared" si="43"/>
        <v>1</v>
      </c>
      <c r="D271" s="718"/>
      <c r="E271" s="23">
        <f t="shared" si="44"/>
        <v>0.05</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5">
        <f t="shared" si="51"/>
        <v>0</v>
      </c>
      <c r="S271" s="360">
        <f t="shared" si="52"/>
        <v>0</v>
      </c>
    </row>
    <row r="272" spans="1:19">
      <c r="A272" s="158"/>
      <c r="B272" s="58"/>
      <c r="C272" s="23">
        <f t="shared" si="43"/>
        <v>1</v>
      </c>
      <c r="D272" s="718"/>
      <c r="E272" s="23">
        <f t="shared" si="44"/>
        <v>0.05</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5">
        <f t="shared" si="51"/>
        <v>0</v>
      </c>
      <c r="S272" s="360">
        <f t="shared" si="52"/>
        <v>0</v>
      </c>
    </row>
    <row r="273" spans="1:19">
      <c r="A273" s="158"/>
      <c r="B273" s="58"/>
      <c r="C273" s="23">
        <f t="shared" si="43"/>
        <v>1</v>
      </c>
      <c r="D273" s="718"/>
      <c r="E273" s="23">
        <f t="shared" si="44"/>
        <v>0.05</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5">
        <f t="shared" si="51"/>
        <v>0</v>
      </c>
      <c r="S273" s="360">
        <f t="shared" si="52"/>
        <v>0</v>
      </c>
    </row>
    <row r="274" spans="1:19">
      <c r="A274" s="158"/>
      <c r="B274" s="58"/>
      <c r="C274" s="23">
        <f t="shared" si="43"/>
        <v>1</v>
      </c>
      <c r="D274" s="718"/>
      <c r="E274" s="23">
        <f t="shared" si="44"/>
        <v>0.05</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5">
        <f t="shared" si="51"/>
        <v>0</v>
      </c>
      <c r="S274" s="360">
        <f t="shared" si="52"/>
        <v>0</v>
      </c>
    </row>
    <row r="275" spans="1:19">
      <c r="A275" s="158"/>
      <c r="B275" s="58"/>
      <c r="C275" s="23">
        <f t="shared" si="43"/>
        <v>1</v>
      </c>
      <c r="D275" s="718"/>
      <c r="E275" s="23">
        <f t="shared" si="44"/>
        <v>0.05</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5">
        <f t="shared" si="51"/>
        <v>0</v>
      </c>
      <c r="S275" s="360">
        <f t="shared" si="52"/>
        <v>0</v>
      </c>
    </row>
    <row r="276" spans="1:19">
      <c r="A276" s="158"/>
      <c r="B276" s="58"/>
      <c r="C276" s="23">
        <f t="shared" si="43"/>
        <v>1</v>
      </c>
      <c r="D276" s="718"/>
      <c r="E276" s="23">
        <f t="shared" si="44"/>
        <v>0.05</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5">
        <f t="shared" si="51"/>
        <v>0</v>
      </c>
      <c r="S276" s="360">
        <f t="shared" si="52"/>
        <v>0</v>
      </c>
    </row>
    <row r="277" spans="1:19">
      <c r="A277" s="158"/>
      <c r="B277" s="58"/>
      <c r="C277" s="23">
        <f t="shared" si="43"/>
        <v>1</v>
      </c>
      <c r="D277" s="718"/>
      <c r="E277" s="23">
        <f t="shared" si="44"/>
        <v>0.05</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5">
        <f t="shared" si="51"/>
        <v>0</v>
      </c>
      <c r="S277" s="360">
        <f t="shared" si="52"/>
        <v>0</v>
      </c>
    </row>
    <row r="278" spans="1:19">
      <c r="A278" s="158"/>
      <c r="B278" s="58"/>
      <c r="C278" s="23">
        <f t="shared" si="43"/>
        <v>1</v>
      </c>
      <c r="D278" s="718"/>
      <c r="E278" s="23">
        <f t="shared" si="44"/>
        <v>0.05</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5">
        <f t="shared" si="51"/>
        <v>0</v>
      </c>
      <c r="S278" s="360">
        <f t="shared" si="52"/>
        <v>0</v>
      </c>
    </row>
    <row r="279" spans="1:19">
      <c r="A279" s="158"/>
      <c r="B279" s="58"/>
      <c r="C279" s="23">
        <f t="shared" si="43"/>
        <v>1</v>
      </c>
      <c r="D279" s="718"/>
      <c r="E279" s="23">
        <f t="shared" si="44"/>
        <v>0.05</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5">
        <f t="shared" si="51"/>
        <v>0</v>
      </c>
      <c r="S279" s="360">
        <f t="shared" si="52"/>
        <v>0</v>
      </c>
    </row>
    <row r="280" spans="1:19">
      <c r="A280" s="158"/>
      <c r="B280" s="58"/>
      <c r="C280" s="23">
        <f t="shared" si="43"/>
        <v>1</v>
      </c>
      <c r="D280" s="718"/>
      <c r="E280" s="23">
        <f t="shared" si="44"/>
        <v>0.05</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5">
        <f t="shared" si="51"/>
        <v>0</v>
      </c>
      <c r="S280" s="360">
        <f t="shared" si="52"/>
        <v>0</v>
      </c>
    </row>
    <row r="281" spans="1:19">
      <c r="A281" s="158"/>
      <c r="B281" s="58"/>
      <c r="C281" s="23">
        <f t="shared" si="43"/>
        <v>1</v>
      </c>
      <c r="D281" s="718"/>
      <c r="E281" s="23">
        <f t="shared" si="44"/>
        <v>0.05</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5">
        <f t="shared" si="51"/>
        <v>0</v>
      </c>
      <c r="S281" s="360">
        <f t="shared" si="52"/>
        <v>0</v>
      </c>
    </row>
    <row r="282" spans="1:19">
      <c r="A282" s="158"/>
      <c r="B282" s="58"/>
      <c r="C282" s="23">
        <f t="shared" ref="C282:C345" si="53">IF(B282="",1,(LOOKUP(B282,$3:$3,$4:$4)-LOOKUP($B$24,$3:$3,$4:$4)+100)/100)</f>
        <v>1</v>
      </c>
      <c r="D282" s="718"/>
      <c r="E282" s="23">
        <f t="shared" ref="E282:E345" si="54">(SUMIF($5:$5,D282,$6:$6)-SUMIF($5:$5,$D$24,$6:$6)+100)/100</f>
        <v>0.05</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8"/>
      <c r="E283" s="23">
        <f t="shared" si="54"/>
        <v>0.05</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5">
        <f t="shared" si="61"/>
        <v>0</v>
      </c>
      <c r="S283" s="360">
        <f t="shared" si="52"/>
        <v>0</v>
      </c>
    </row>
    <row r="284" spans="1:19">
      <c r="A284" s="158"/>
      <c r="B284" s="58"/>
      <c r="C284" s="23">
        <f t="shared" si="53"/>
        <v>1</v>
      </c>
      <c r="D284" s="718"/>
      <c r="E284" s="23">
        <f t="shared" si="54"/>
        <v>0.05</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5">
        <f t="shared" si="61"/>
        <v>0</v>
      </c>
      <c r="S284" s="360">
        <f t="shared" si="52"/>
        <v>0</v>
      </c>
    </row>
    <row r="285" spans="1:19">
      <c r="A285" s="158"/>
      <c r="B285" s="58"/>
      <c r="C285" s="23">
        <f t="shared" si="53"/>
        <v>1</v>
      </c>
      <c r="D285" s="718"/>
      <c r="E285" s="23">
        <f t="shared" si="54"/>
        <v>0.05</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5">
        <f t="shared" si="61"/>
        <v>0</v>
      </c>
      <c r="S285" s="360">
        <f t="shared" si="52"/>
        <v>0</v>
      </c>
    </row>
    <row r="286" spans="1:19">
      <c r="A286" s="158"/>
      <c r="B286" s="58"/>
      <c r="C286" s="23">
        <f t="shared" si="53"/>
        <v>1</v>
      </c>
      <c r="D286" s="718"/>
      <c r="E286" s="23">
        <f t="shared" si="54"/>
        <v>0.05</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5">
        <f t="shared" si="61"/>
        <v>0</v>
      </c>
      <c r="S286" s="360">
        <f t="shared" si="52"/>
        <v>0</v>
      </c>
    </row>
    <row r="287" spans="1:19">
      <c r="A287" s="158"/>
      <c r="B287" s="58"/>
      <c r="C287" s="23">
        <f t="shared" si="53"/>
        <v>1</v>
      </c>
      <c r="D287" s="718"/>
      <c r="E287" s="23">
        <f t="shared" si="54"/>
        <v>0.05</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5">
        <f t="shared" si="61"/>
        <v>0</v>
      </c>
      <c r="S287" s="360">
        <f t="shared" ref="S287:S320" si="62">ROUND(R287*B287/10000,0)</f>
        <v>0</v>
      </c>
    </row>
    <row r="288" spans="1:19">
      <c r="A288" s="158"/>
      <c r="B288" s="58"/>
      <c r="C288" s="23">
        <f t="shared" si="53"/>
        <v>1</v>
      </c>
      <c r="D288" s="718"/>
      <c r="E288" s="23">
        <f t="shared" si="54"/>
        <v>0.05</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5">
        <f t="shared" si="61"/>
        <v>0</v>
      </c>
      <c r="S288" s="360">
        <f t="shared" si="62"/>
        <v>0</v>
      </c>
    </row>
    <row r="289" spans="1:19">
      <c r="A289" s="158"/>
      <c r="B289" s="58"/>
      <c r="C289" s="23">
        <f t="shared" si="53"/>
        <v>1</v>
      </c>
      <c r="D289" s="718"/>
      <c r="E289" s="23">
        <f t="shared" si="54"/>
        <v>0.05</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5">
        <f t="shared" si="61"/>
        <v>0</v>
      </c>
      <c r="S289" s="360">
        <f t="shared" si="62"/>
        <v>0</v>
      </c>
    </row>
    <row r="290" spans="1:19">
      <c r="A290" s="158"/>
      <c r="B290" s="58"/>
      <c r="C290" s="23">
        <f t="shared" si="53"/>
        <v>1</v>
      </c>
      <c r="D290" s="718"/>
      <c r="E290" s="23">
        <f t="shared" si="54"/>
        <v>0.05</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5">
        <f t="shared" si="61"/>
        <v>0</v>
      </c>
      <c r="S290" s="360">
        <f t="shared" si="62"/>
        <v>0</v>
      </c>
    </row>
    <row r="291" spans="1:19">
      <c r="A291" s="158"/>
      <c r="B291" s="58"/>
      <c r="C291" s="23">
        <f t="shared" si="53"/>
        <v>1</v>
      </c>
      <c r="D291" s="718"/>
      <c r="E291" s="23">
        <f t="shared" si="54"/>
        <v>0.05</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5">
        <f t="shared" si="61"/>
        <v>0</v>
      </c>
      <c r="S291" s="360">
        <f t="shared" si="62"/>
        <v>0</v>
      </c>
    </row>
    <row r="292" spans="1:19">
      <c r="A292" s="158"/>
      <c r="B292" s="58"/>
      <c r="C292" s="23">
        <f t="shared" si="53"/>
        <v>1</v>
      </c>
      <c r="D292" s="718"/>
      <c r="E292" s="23">
        <f t="shared" si="54"/>
        <v>0.05</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5">
        <f t="shared" si="61"/>
        <v>0</v>
      </c>
      <c r="S292" s="360">
        <f t="shared" si="62"/>
        <v>0</v>
      </c>
    </row>
    <row r="293" spans="1:19">
      <c r="A293" s="158"/>
      <c r="B293" s="58"/>
      <c r="C293" s="23">
        <f t="shared" si="53"/>
        <v>1</v>
      </c>
      <c r="D293" s="718"/>
      <c r="E293" s="23">
        <f t="shared" si="54"/>
        <v>0.05</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5">
        <f t="shared" si="61"/>
        <v>0</v>
      </c>
      <c r="S293" s="360">
        <f t="shared" si="62"/>
        <v>0</v>
      </c>
    </row>
    <row r="294" spans="1:19">
      <c r="A294" s="158"/>
      <c r="B294" s="58"/>
      <c r="C294" s="23">
        <f t="shared" si="53"/>
        <v>1</v>
      </c>
      <c r="D294" s="718"/>
      <c r="E294" s="23">
        <f t="shared" si="54"/>
        <v>0.05</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5">
        <f t="shared" si="61"/>
        <v>0</v>
      </c>
      <c r="S294" s="360">
        <f t="shared" si="62"/>
        <v>0</v>
      </c>
    </row>
    <row r="295" spans="1:19">
      <c r="A295" s="158"/>
      <c r="B295" s="58"/>
      <c r="C295" s="23">
        <f t="shared" si="53"/>
        <v>1</v>
      </c>
      <c r="D295" s="718"/>
      <c r="E295" s="23">
        <f t="shared" si="54"/>
        <v>0.05</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5">
        <f t="shared" si="61"/>
        <v>0</v>
      </c>
      <c r="S295" s="360">
        <f t="shared" si="62"/>
        <v>0</v>
      </c>
    </row>
    <row r="296" spans="1:19">
      <c r="A296" s="158"/>
      <c r="B296" s="58"/>
      <c r="C296" s="23">
        <f t="shared" si="53"/>
        <v>1</v>
      </c>
      <c r="D296" s="718"/>
      <c r="E296" s="23">
        <f t="shared" si="54"/>
        <v>0.05</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5">
        <f t="shared" si="61"/>
        <v>0</v>
      </c>
      <c r="S296" s="360">
        <f t="shared" si="62"/>
        <v>0</v>
      </c>
    </row>
    <row r="297" spans="1:19">
      <c r="A297" s="158"/>
      <c r="B297" s="58"/>
      <c r="C297" s="23">
        <f t="shared" si="53"/>
        <v>1</v>
      </c>
      <c r="D297" s="718"/>
      <c r="E297" s="23">
        <f t="shared" si="54"/>
        <v>0.05</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5">
        <f t="shared" si="61"/>
        <v>0</v>
      </c>
      <c r="S297" s="360">
        <f t="shared" si="62"/>
        <v>0</v>
      </c>
    </row>
    <row r="298" spans="1:19">
      <c r="A298" s="158"/>
      <c r="B298" s="58"/>
      <c r="C298" s="23">
        <f t="shared" si="53"/>
        <v>1</v>
      </c>
      <c r="D298" s="718"/>
      <c r="E298" s="23">
        <f t="shared" si="54"/>
        <v>0.05</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5">
        <f t="shared" si="61"/>
        <v>0</v>
      </c>
      <c r="S298" s="360">
        <f t="shared" si="62"/>
        <v>0</v>
      </c>
    </row>
    <row r="299" spans="1:19">
      <c r="A299" s="158"/>
      <c r="B299" s="58"/>
      <c r="C299" s="23">
        <f t="shared" si="53"/>
        <v>1</v>
      </c>
      <c r="D299" s="718"/>
      <c r="E299" s="23">
        <f t="shared" si="54"/>
        <v>0.05</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5">
        <f t="shared" si="61"/>
        <v>0</v>
      </c>
      <c r="S299" s="360">
        <f t="shared" si="62"/>
        <v>0</v>
      </c>
    </row>
    <row r="300" spans="1:19">
      <c r="A300" s="158"/>
      <c r="B300" s="58"/>
      <c r="C300" s="23">
        <f t="shared" si="53"/>
        <v>1</v>
      </c>
      <c r="D300" s="718"/>
      <c r="E300" s="23">
        <f t="shared" si="54"/>
        <v>0.05</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5">
        <f t="shared" si="61"/>
        <v>0</v>
      </c>
      <c r="S300" s="360">
        <f t="shared" si="62"/>
        <v>0</v>
      </c>
    </row>
    <row r="301" spans="1:19">
      <c r="A301" s="158"/>
      <c r="B301" s="58"/>
      <c r="C301" s="23">
        <f t="shared" si="53"/>
        <v>1</v>
      </c>
      <c r="D301" s="718"/>
      <c r="E301" s="23">
        <f t="shared" si="54"/>
        <v>0.05</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5">
        <f t="shared" si="61"/>
        <v>0</v>
      </c>
      <c r="S301" s="360">
        <f t="shared" si="62"/>
        <v>0</v>
      </c>
    </row>
    <row r="302" spans="1:19">
      <c r="A302" s="158"/>
      <c r="B302" s="58"/>
      <c r="C302" s="23">
        <f t="shared" si="53"/>
        <v>1</v>
      </c>
      <c r="D302" s="718"/>
      <c r="E302" s="23">
        <f t="shared" si="54"/>
        <v>0.05</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5">
        <f t="shared" si="61"/>
        <v>0</v>
      </c>
      <c r="S302" s="360">
        <f t="shared" si="62"/>
        <v>0</v>
      </c>
    </row>
    <row r="303" spans="1:19">
      <c r="A303" s="158"/>
      <c r="B303" s="58"/>
      <c r="C303" s="23">
        <f t="shared" si="53"/>
        <v>1</v>
      </c>
      <c r="D303" s="718"/>
      <c r="E303" s="23">
        <f t="shared" si="54"/>
        <v>0.05</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5">
        <f t="shared" si="61"/>
        <v>0</v>
      </c>
      <c r="S303" s="360">
        <f t="shared" si="62"/>
        <v>0</v>
      </c>
    </row>
    <row r="304" spans="1:19">
      <c r="A304" s="158"/>
      <c r="B304" s="58"/>
      <c r="C304" s="23">
        <f t="shared" si="53"/>
        <v>1</v>
      </c>
      <c r="D304" s="718"/>
      <c r="E304" s="23">
        <f t="shared" si="54"/>
        <v>0.05</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5">
        <f t="shared" si="61"/>
        <v>0</v>
      </c>
      <c r="S304" s="360">
        <f t="shared" si="62"/>
        <v>0</v>
      </c>
    </row>
    <row r="305" spans="1:19">
      <c r="A305" s="158"/>
      <c r="B305" s="58"/>
      <c r="C305" s="23">
        <f t="shared" si="53"/>
        <v>1</v>
      </c>
      <c r="D305" s="718"/>
      <c r="E305" s="23">
        <f t="shared" si="54"/>
        <v>0.05</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5">
        <f t="shared" si="61"/>
        <v>0</v>
      </c>
      <c r="S305" s="360">
        <f t="shared" si="62"/>
        <v>0</v>
      </c>
    </row>
    <row r="306" spans="1:19">
      <c r="A306" s="158"/>
      <c r="B306" s="58"/>
      <c r="C306" s="23">
        <f t="shared" si="53"/>
        <v>1</v>
      </c>
      <c r="D306" s="718"/>
      <c r="E306" s="23">
        <f t="shared" si="54"/>
        <v>0.05</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5">
        <f t="shared" si="61"/>
        <v>0</v>
      </c>
      <c r="S306" s="360">
        <f t="shared" si="62"/>
        <v>0</v>
      </c>
    </row>
    <row r="307" spans="1:19">
      <c r="A307" s="158"/>
      <c r="B307" s="58"/>
      <c r="C307" s="23">
        <f t="shared" si="53"/>
        <v>1</v>
      </c>
      <c r="D307" s="718"/>
      <c r="E307" s="23">
        <f t="shared" si="54"/>
        <v>0.05</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5">
        <f t="shared" si="61"/>
        <v>0</v>
      </c>
      <c r="S307" s="360">
        <f t="shared" si="62"/>
        <v>0</v>
      </c>
    </row>
    <row r="308" spans="1:19">
      <c r="A308" s="158"/>
      <c r="B308" s="58"/>
      <c r="C308" s="23">
        <f t="shared" si="53"/>
        <v>1</v>
      </c>
      <c r="D308" s="718"/>
      <c r="E308" s="23">
        <f t="shared" si="54"/>
        <v>0.05</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5">
        <f t="shared" si="61"/>
        <v>0</v>
      </c>
      <c r="S308" s="360">
        <f t="shared" si="62"/>
        <v>0</v>
      </c>
    </row>
    <row r="309" spans="1:19">
      <c r="A309" s="158"/>
      <c r="B309" s="58"/>
      <c r="C309" s="23">
        <f t="shared" si="53"/>
        <v>1</v>
      </c>
      <c r="D309" s="718"/>
      <c r="E309" s="23">
        <f t="shared" si="54"/>
        <v>0.05</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5">
        <f t="shared" si="61"/>
        <v>0</v>
      </c>
      <c r="S309" s="360">
        <f t="shared" si="62"/>
        <v>0</v>
      </c>
    </row>
    <row r="310" spans="1:19">
      <c r="A310" s="158"/>
      <c r="B310" s="58"/>
      <c r="C310" s="23">
        <f t="shared" si="53"/>
        <v>1</v>
      </c>
      <c r="D310" s="718"/>
      <c r="E310" s="23">
        <f t="shared" si="54"/>
        <v>0.05</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5">
        <f t="shared" si="61"/>
        <v>0</v>
      </c>
      <c r="S310" s="360">
        <f t="shared" si="62"/>
        <v>0</v>
      </c>
    </row>
    <row r="311" spans="1:19">
      <c r="A311" s="158"/>
      <c r="B311" s="58"/>
      <c r="C311" s="23">
        <f t="shared" si="53"/>
        <v>1</v>
      </c>
      <c r="D311" s="718"/>
      <c r="E311" s="23">
        <f t="shared" si="54"/>
        <v>0.05</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5">
        <f t="shared" si="61"/>
        <v>0</v>
      </c>
      <c r="S311" s="360">
        <f t="shared" si="62"/>
        <v>0</v>
      </c>
    </row>
    <row r="312" spans="1:19">
      <c r="A312" s="158"/>
      <c r="B312" s="58"/>
      <c r="C312" s="23">
        <f t="shared" si="53"/>
        <v>1</v>
      </c>
      <c r="D312" s="718"/>
      <c r="E312" s="23">
        <f t="shared" si="54"/>
        <v>0.05</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5">
        <f t="shared" si="61"/>
        <v>0</v>
      </c>
      <c r="S312" s="360">
        <f t="shared" si="62"/>
        <v>0</v>
      </c>
    </row>
    <row r="313" spans="1:19">
      <c r="A313" s="158"/>
      <c r="B313" s="58"/>
      <c r="C313" s="23">
        <f t="shared" si="53"/>
        <v>1</v>
      </c>
      <c r="D313" s="718"/>
      <c r="E313" s="23">
        <f t="shared" si="54"/>
        <v>0.05</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5">
        <f t="shared" si="61"/>
        <v>0</v>
      </c>
      <c r="S313" s="360">
        <f t="shared" si="62"/>
        <v>0</v>
      </c>
    </row>
    <row r="314" spans="1:19">
      <c r="A314" s="158"/>
      <c r="B314" s="58"/>
      <c r="C314" s="23">
        <f t="shared" si="53"/>
        <v>1</v>
      </c>
      <c r="D314" s="718"/>
      <c r="E314" s="23">
        <f t="shared" si="54"/>
        <v>0.05</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5">
        <f t="shared" si="61"/>
        <v>0</v>
      </c>
      <c r="S314" s="360">
        <f t="shared" si="62"/>
        <v>0</v>
      </c>
    </row>
    <row r="315" spans="1:19">
      <c r="A315" s="158"/>
      <c r="B315" s="58"/>
      <c r="C315" s="23">
        <f t="shared" si="53"/>
        <v>1</v>
      </c>
      <c r="D315" s="718"/>
      <c r="E315" s="23">
        <f t="shared" si="54"/>
        <v>0.05</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5">
        <f t="shared" si="61"/>
        <v>0</v>
      </c>
      <c r="S315" s="360">
        <f t="shared" si="62"/>
        <v>0</v>
      </c>
    </row>
    <row r="316" spans="1:19">
      <c r="A316" s="158"/>
      <c r="B316" s="58"/>
      <c r="C316" s="23">
        <f t="shared" si="53"/>
        <v>1</v>
      </c>
      <c r="D316" s="718"/>
      <c r="E316" s="23">
        <f t="shared" si="54"/>
        <v>0.05</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5">
        <f t="shared" si="61"/>
        <v>0</v>
      </c>
      <c r="S316" s="360">
        <f t="shared" si="62"/>
        <v>0</v>
      </c>
    </row>
    <row r="317" spans="1:19">
      <c r="A317" s="158"/>
      <c r="B317" s="58"/>
      <c r="C317" s="23">
        <f t="shared" si="53"/>
        <v>1</v>
      </c>
      <c r="D317" s="718"/>
      <c r="E317" s="23">
        <f t="shared" si="54"/>
        <v>0.05</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5">
        <f t="shared" si="61"/>
        <v>0</v>
      </c>
      <c r="S317" s="360">
        <f t="shared" si="62"/>
        <v>0</v>
      </c>
    </row>
    <row r="318" spans="1:19">
      <c r="A318" s="158"/>
      <c r="B318" s="58"/>
      <c r="C318" s="23">
        <f t="shared" si="53"/>
        <v>1</v>
      </c>
      <c r="D318" s="718"/>
      <c r="E318" s="23">
        <f t="shared" si="54"/>
        <v>0.05</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5">
        <f t="shared" si="61"/>
        <v>0</v>
      </c>
      <c r="S318" s="360">
        <f t="shared" si="62"/>
        <v>0</v>
      </c>
    </row>
    <row r="319" spans="1:19">
      <c r="A319" s="158"/>
      <c r="B319" s="58"/>
      <c r="C319" s="23">
        <f t="shared" si="53"/>
        <v>1</v>
      </c>
      <c r="D319" s="718"/>
      <c r="E319" s="23">
        <f t="shared" si="54"/>
        <v>0.05</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5">
        <f t="shared" si="61"/>
        <v>0</v>
      </c>
      <c r="S319" s="360">
        <f t="shared" si="62"/>
        <v>0</v>
      </c>
    </row>
    <row r="320" spans="1:19">
      <c r="A320" s="158"/>
      <c r="B320" s="58"/>
      <c r="C320" s="23">
        <f t="shared" si="53"/>
        <v>1</v>
      </c>
      <c r="D320" s="718"/>
      <c r="E320" s="23">
        <f t="shared" si="54"/>
        <v>0.05</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5">
        <f t="shared" si="61"/>
        <v>0</v>
      </c>
      <c r="S320" s="360">
        <f t="shared" si="62"/>
        <v>0</v>
      </c>
    </row>
    <row r="321" spans="1:19">
      <c r="A321" s="158"/>
      <c r="B321" s="58"/>
      <c r="C321" s="23">
        <f t="shared" si="53"/>
        <v>1</v>
      </c>
      <c r="D321" s="718"/>
      <c r="E321" s="23">
        <f t="shared" si="54"/>
        <v>0.05</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5">
        <f t="shared" si="61"/>
        <v>0</v>
      </c>
      <c r="S321" s="360">
        <f t="shared" ref="S321:S384" si="63">ROUND(R321*B321/10000,0)</f>
        <v>0</v>
      </c>
    </row>
    <row r="322" spans="1:19">
      <c r="A322" s="158"/>
      <c r="B322" s="58"/>
      <c r="C322" s="23">
        <f t="shared" si="53"/>
        <v>1</v>
      </c>
      <c r="D322" s="718"/>
      <c r="E322" s="23">
        <f t="shared" si="54"/>
        <v>0.05</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5">
        <f t="shared" si="61"/>
        <v>0</v>
      </c>
      <c r="S322" s="360">
        <f t="shared" si="63"/>
        <v>0</v>
      </c>
    </row>
    <row r="323" spans="1:19">
      <c r="A323" s="158"/>
      <c r="B323" s="58"/>
      <c r="C323" s="23">
        <f t="shared" si="53"/>
        <v>1</v>
      </c>
      <c r="D323" s="718"/>
      <c r="E323" s="23">
        <f t="shared" si="54"/>
        <v>0.05</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5">
        <f t="shared" si="61"/>
        <v>0</v>
      </c>
      <c r="S323" s="360">
        <f t="shared" si="63"/>
        <v>0</v>
      </c>
    </row>
    <row r="324" spans="1:19">
      <c r="A324" s="158"/>
      <c r="B324" s="58"/>
      <c r="C324" s="23">
        <f t="shared" si="53"/>
        <v>1</v>
      </c>
      <c r="D324" s="718"/>
      <c r="E324" s="23">
        <f t="shared" si="54"/>
        <v>0.05</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5">
        <f t="shared" si="61"/>
        <v>0</v>
      </c>
      <c r="S324" s="360">
        <f t="shared" si="63"/>
        <v>0</v>
      </c>
    </row>
    <row r="325" spans="1:19">
      <c r="A325" s="158"/>
      <c r="B325" s="58"/>
      <c r="C325" s="23">
        <f t="shared" si="53"/>
        <v>1</v>
      </c>
      <c r="D325" s="718"/>
      <c r="E325" s="23">
        <f t="shared" si="54"/>
        <v>0.05</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5">
        <f t="shared" si="61"/>
        <v>0</v>
      </c>
      <c r="S325" s="360">
        <f t="shared" si="63"/>
        <v>0</v>
      </c>
    </row>
    <row r="326" spans="1:19">
      <c r="A326" s="158"/>
      <c r="B326" s="58"/>
      <c r="C326" s="23">
        <f t="shared" si="53"/>
        <v>1</v>
      </c>
      <c r="D326" s="718"/>
      <c r="E326" s="23">
        <f t="shared" si="54"/>
        <v>0.05</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5">
        <f t="shared" si="61"/>
        <v>0</v>
      </c>
      <c r="S326" s="360">
        <f t="shared" si="63"/>
        <v>0</v>
      </c>
    </row>
    <row r="327" spans="1:19">
      <c r="A327" s="158"/>
      <c r="B327" s="58"/>
      <c r="C327" s="23">
        <f t="shared" si="53"/>
        <v>1</v>
      </c>
      <c r="D327" s="718"/>
      <c r="E327" s="23">
        <f t="shared" si="54"/>
        <v>0.05</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5">
        <f t="shared" si="61"/>
        <v>0</v>
      </c>
      <c r="S327" s="360">
        <f t="shared" si="63"/>
        <v>0</v>
      </c>
    </row>
    <row r="328" spans="1:19">
      <c r="A328" s="158"/>
      <c r="B328" s="58"/>
      <c r="C328" s="23">
        <f t="shared" si="53"/>
        <v>1</v>
      </c>
      <c r="D328" s="718"/>
      <c r="E328" s="23">
        <f t="shared" si="54"/>
        <v>0.05</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5">
        <f t="shared" si="61"/>
        <v>0</v>
      </c>
      <c r="S328" s="360">
        <f t="shared" si="63"/>
        <v>0</v>
      </c>
    </row>
    <row r="329" spans="1:19">
      <c r="A329" s="158"/>
      <c r="B329" s="58"/>
      <c r="C329" s="23">
        <f t="shared" si="53"/>
        <v>1</v>
      </c>
      <c r="D329" s="718"/>
      <c r="E329" s="23">
        <f t="shared" si="54"/>
        <v>0.05</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5">
        <f t="shared" si="61"/>
        <v>0</v>
      </c>
      <c r="S329" s="360">
        <f t="shared" si="63"/>
        <v>0</v>
      </c>
    </row>
    <row r="330" spans="1:19">
      <c r="A330" s="158"/>
      <c r="B330" s="58"/>
      <c r="C330" s="23">
        <f t="shared" si="53"/>
        <v>1</v>
      </c>
      <c r="D330" s="718"/>
      <c r="E330" s="23">
        <f t="shared" si="54"/>
        <v>0.05</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5">
        <f t="shared" si="61"/>
        <v>0</v>
      </c>
      <c r="S330" s="360">
        <f t="shared" si="63"/>
        <v>0</v>
      </c>
    </row>
    <row r="331" spans="1:19">
      <c r="A331" s="158"/>
      <c r="B331" s="58"/>
      <c r="C331" s="23">
        <f t="shared" si="53"/>
        <v>1</v>
      </c>
      <c r="D331" s="718"/>
      <c r="E331" s="23">
        <f t="shared" si="54"/>
        <v>0.05</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5">
        <f t="shared" si="61"/>
        <v>0</v>
      </c>
      <c r="S331" s="360">
        <f t="shared" si="63"/>
        <v>0</v>
      </c>
    </row>
    <row r="332" spans="1:19">
      <c r="A332" s="158"/>
      <c r="B332" s="58"/>
      <c r="C332" s="23">
        <f t="shared" si="53"/>
        <v>1</v>
      </c>
      <c r="D332" s="718"/>
      <c r="E332" s="23">
        <f t="shared" si="54"/>
        <v>0.05</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5">
        <f t="shared" si="61"/>
        <v>0</v>
      </c>
      <c r="S332" s="360">
        <f t="shared" si="63"/>
        <v>0</v>
      </c>
    </row>
    <row r="333" spans="1:19">
      <c r="A333" s="158"/>
      <c r="B333" s="58"/>
      <c r="C333" s="23">
        <f t="shared" si="53"/>
        <v>1</v>
      </c>
      <c r="D333" s="718"/>
      <c r="E333" s="23">
        <f t="shared" si="54"/>
        <v>0.05</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5">
        <f t="shared" si="61"/>
        <v>0</v>
      </c>
      <c r="S333" s="360">
        <f t="shared" si="63"/>
        <v>0</v>
      </c>
    </row>
    <row r="334" spans="1:19">
      <c r="A334" s="158"/>
      <c r="B334" s="58"/>
      <c r="C334" s="23">
        <f t="shared" si="53"/>
        <v>1</v>
      </c>
      <c r="D334" s="718"/>
      <c r="E334" s="23">
        <f t="shared" si="54"/>
        <v>0.05</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5">
        <f t="shared" si="61"/>
        <v>0</v>
      </c>
      <c r="S334" s="360">
        <f t="shared" si="63"/>
        <v>0</v>
      </c>
    </row>
    <row r="335" spans="1:19">
      <c r="A335" s="158"/>
      <c r="B335" s="58"/>
      <c r="C335" s="23">
        <f t="shared" si="53"/>
        <v>1</v>
      </c>
      <c r="D335" s="718"/>
      <c r="E335" s="23">
        <f t="shared" si="54"/>
        <v>0.05</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5">
        <f t="shared" si="61"/>
        <v>0</v>
      </c>
      <c r="S335" s="360">
        <f t="shared" si="63"/>
        <v>0</v>
      </c>
    </row>
    <row r="336" spans="1:19">
      <c r="A336" s="158"/>
      <c r="B336" s="58"/>
      <c r="C336" s="23">
        <f t="shared" si="53"/>
        <v>1</v>
      </c>
      <c r="D336" s="718"/>
      <c r="E336" s="23">
        <f t="shared" si="54"/>
        <v>0.05</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5">
        <f t="shared" si="61"/>
        <v>0</v>
      </c>
      <c r="S336" s="360">
        <f t="shared" si="63"/>
        <v>0</v>
      </c>
    </row>
    <row r="337" spans="1:19">
      <c r="A337" s="158"/>
      <c r="B337" s="58"/>
      <c r="C337" s="23">
        <f t="shared" si="53"/>
        <v>1</v>
      </c>
      <c r="D337" s="718"/>
      <c r="E337" s="23">
        <f t="shared" si="54"/>
        <v>0.05</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5">
        <f t="shared" si="61"/>
        <v>0</v>
      </c>
      <c r="S337" s="360">
        <f t="shared" si="63"/>
        <v>0</v>
      </c>
    </row>
    <row r="338" spans="1:19">
      <c r="A338" s="158"/>
      <c r="B338" s="58"/>
      <c r="C338" s="23">
        <f t="shared" si="53"/>
        <v>1</v>
      </c>
      <c r="D338" s="718"/>
      <c r="E338" s="23">
        <f t="shared" si="54"/>
        <v>0.05</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5">
        <f t="shared" si="61"/>
        <v>0</v>
      </c>
      <c r="S338" s="360">
        <f t="shared" si="63"/>
        <v>0</v>
      </c>
    </row>
    <row r="339" spans="1:19">
      <c r="A339" s="158"/>
      <c r="B339" s="58"/>
      <c r="C339" s="23">
        <f t="shared" si="53"/>
        <v>1</v>
      </c>
      <c r="D339" s="718"/>
      <c r="E339" s="23">
        <f t="shared" si="54"/>
        <v>0.05</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5">
        <f t="shared" si="61"/>
        <v>0</v>
      </c>
      <c r="S339" s="360">
        <f t="shared" si="63"/>
        <v>0</v>
      </c>
    </row>
    <row r="340" spans="1:19">
      <c r="A340" s="158"/>
      <c r="B340" s="58"/>
      <c r="C340" s="23">
        <f t="shared" si="53"/>
        <v>1</v>
      </c>
      <c r="D340" s="718"/>
      <c r="E340" s="23">
        <f t="shared" si="54"/>
        <v>0.05</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5">
        <f t="shared" si="61"/>
        <v>0</v>
      </c>
      <c r="S340" s="360">
        <f t="shared" si="63"/>
        <v>0</v>
      </c>
    </row>
    <row r="341" spans="1:19">
      <c r="A341" s="158"/>
      <c r="B341" s="58"/>
      <c r="C341" s="23">
        <f t="shared" si="53"/>
        <v>1</v>
      </c>
      <c r="D341" s="718"/>
      <c r="E341" s="23">
        <f t="shared" si="54"/>
        <v>0.05</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5">
        <f t="shared" si="61"/>
        <v>0</v>
      </c>
      <c r="S341" s="360">
        <f t="shared" si="63"/>
        <v>0</v>
      </c>
    </row>
    <row r="342" spans="1:19">
      <c r="A342" s="158"/>
      <c r="B342" s="58"/>
      <c r="C342" s="23">
        <f t="shared" si="53"/>
        <v>1</v>
      </c>
      <c r="D342" s="718"/>
      <c r="E342" s="23">
        <f t="shared" si="54"/>
        <v>0.05</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5">
        <f t="shared" si="61"/>
        <v>0</v>
      </c>
      <c r="S342" s="360">
        <f t="shared" si="63"/>
        <v>0</v>
      </c>
    </row>
    <row r="343" spans="1:19">
      <c r="A343" s="158"/>
      <c r="B343" s="58"/>
      <c r="C343" s="23">
        <f t="shared" si="53"/>
        <v>1</v>
      </c>
      <c r="D343" s="718"/>
      <c r="E343" s="23">
        <f t="shared" si="54"/>
        <v>0.05</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5">
        <f t="shared" si="61"/>
        <v>0</v>
      </c>
      <c r="S343" s="360">
        <f t="shared" si="63"/>
        <v>0</v>
      </c>
    </row>
    <row r="344" spans="1:19">
      <c r="A344" s="158"/>
      <c r="B344" s="58"/>
      <c r="C344" s="23">
        <f t="shared" si="53"/>
        <v>1</v>
      </c>
      <c r="D344" s="718"/>
      <c r="E344" s="23">
        <f t="shared" si="54"/>
        <v>0.05</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5">
        <f t="shared" si="61"/>
        <v>0</v>
      </c>
      <c r="S344" s="360">
        <f t="shared" si="63"/>
        <v>0</v>
      </c>
    </row>
    <row r="345" spans="1:19">
      <c r="A345" s="158"/>
      <c r="B345" s="58"/>
      <c r="C345" s="23">
        <f t="shared" si="53"/>
        <v>1</v>
      </c>
      <c r="D345" s="718"/>
      <c r="E345" s="23">
        <f t="shared" si="54"/>
        <v>0.05</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5">
        <f t="shared" si="61"/>
        <v>0</v>
      </c>
      <c r="S345" s="360">
        <f t="shared" si="63"/>
        <v>0</v>
      </c>
    </row>
    <row r="346" spans="1:19">
      <c r="A346" s="158"/>
      <c r="B346" s="58"/>
      <c r="C346" s="23">
        <f t="shared" ref="C346:C409" si="64">IF(B346="",1,(LOOKUP(B346,$3:$3,$4:$4)-LOOKUP($B$24,$3:$3,$4:$4)+100)/100)</f>
        <v>1</v>
      </c>
      <c r="D346" s="718"/>
      <c r="E346" s="23">
        <f t="shared" ref="E346:E409" si="65">(SUMIF($5:$5,D346,$6:$6)-SUMIF($5:$5,$D$24,$6:$6)+100)/100</f>
        <v>0.05</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8"/>
      <c r="E347" s="23">
        <f t="shared" si="65"/>
        <v>0.05</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5">
        <f t="shared" si="72"/>
        <v>0</v>
      </c>
      <c r="S347" s="360">
        <f t="shared" si="63"/>
        <v>0</v>
      </c>
    </row>
    <row r="348" spans="1:19">
      <c r="A348" s="158"/>
      <c r="B348" s="58"/>
      <c r="C348" s="23">
        <f t="shared" si="64"/>
        <v>1</v>
      </c>
      <c r="D348" s="718"/>
      <c r="E348" s="23">
        <f t="shared" si="65"/>
        <v>0.05</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5">
        <f t="shared" si="72"/>
        <v>0</v>
      </c>
      <c r="S348" s="360">
        <f t="shared" si="63"/>
        <v>0</v>
      </c>
    </row>
    <row r="349" spans="1:19">
      <c r="A349" s="158"/>
      <c r="B349" s="58"/>
      <c r="C349" s="23">
        <f t="shared" si="64"/>
        <v>1</v>
      </c>
      <c r="D349" s="718"/>
      <c r="E349" s="23">
        <f t="shared" si="65"/>
        <v>0.05</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5">
        <f t="shared" si="72"/>
        <v>0</v>
      </c>
      <c r="S349" s="360">
        <f t="shared" si="63"/>
        <v>0</v>
      </c>
    </row>
    <row r="350" spans="1:19">
      <c r="A350" s="158"/>
      <c r="B350" s="58"/>
      <c r="C350" s="23">
        <f t="shared" si="64"/>
        <v>1</v>
      </c>
      <c r="D350" s="718"/>
      <c r="E350" s="23">
        <f t="shared" si="65"/>
        <v>0.05</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5">
        <f t="shared" si="72"/>
        <v>0</v>
      </c>
      <c r="S350" s="360">
        <f t="shared" si="63"/>
        <v>0</v>
      </c>
    </row>
    <row r="351" spans="1:19">
      <c r="A351" s="158"/>
      <c r="B351" s="58"/>
      <c r="C351" s="23">
        <f t="shared" si="64"/>
        <v>1</v>
      </c>
      <c r="D351" s="718"/>
      <c r="E351" s="23">
        <f t="shared" si="65"/>
        <v>0.05</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5">
        <f t="shared" si="72"/>
        <v>0</v>
      </c>
      <c r="S351" s="360">
        <f t="shared" si="63"/>
        <v>0</v>
      </c>
    </row>
    <row r="352" spans="1:19">
      <c r="A352" s="158"/>
      <c r="B352" s="58"/>
      <c r="C352" s="23">
        <f t="shared" si="64"/>
        <v>1</v>
      </c>
      <c r="D352" s="718"/>
      <c r="E352" s="23">
        <f t="shared" si="65"/>
        <v>0.05</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5">
        <f t="shared" si="72"/>
        <v>0</v>
      </c>
      <c r="S352" s="360">
        <f t="shared" si="63"/>
        <v>0</v>
      </c>
    </row>
    <row r="353" spans="1:19">
      <c r="A353" s="158"/>
      <c r="B353" s="58"/>
      <c r="C353" s="23">
        <f t="shared" si="64"/>
        <v>1</v>
      </c>
      <c r="D353" s="718"/>
      <c r="E353" s="23">
        <f t="shared" si="65"/>
        <v>0.05</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5">
        <f t="shared" si="72"/>
        <v>0</v>
      </c>
      <c r="S353" s="360">
        <f t="shared" si="63"/>
        <v>0</v>
      </c>
    </row>
    <row r="354" spans="1:19">
      <c r="A354" s="158"/>
      <c r="B354" s="58"/>
      <c r="C354" s="23">
        <f t="shared" si="64"/>
        <v>1</v>
      </c>
      <c r="D354" s="718"/>
      <c r="E354" s="23">
        <f t="shared" si="65"/>
        <v>0.05</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5">
        <f t="shared" si="72"/>
        <v>0</v>
      </c>
      <c r="S354" s="360">
        <f t="shared" si="63"/>
        <v>0</v>
      </c>
    </row>
    <row r="355" spans="1:19">
      <c r="A355" s="158"/>
      <c r="B355" s="58"/>
      <c r="C355" s="23">
        <f t="shared" si="64"/>
        <v>1</v>
      </c>
      <c r="D355" s="718"/>
      <c r="E355" s="23">
        <f t="shared" si="65"/>
        <v>0.05</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5">
        <f t="shared" si="72"/>
        <v>0</v>
      </c>
      <c r="S355" s="360">
        <f t="shared" si="63"/>
        <v>0</v>
      </c>
    </row>
    <row r="356" spans="1:19">
      <c r="A356" s="158"/>
      <c r="B356" s="58"/>
      <c r="C356" s="23">
        <f t="shared" si="64"/>
        <v>1</v>
      </c>
      <c r="D356" s="718"/>
      <c r="E356" s="23">
        <f t="shared" si="65"/>
        <v>0.05</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5">
        <f t="shared" si="72"/>
        <v>0</v>
      </c>
      <c r="S356" s="360">
        <f t="shared" si="63"/>
        <v>0</v>
      </c>
    </row>
    <row r="357" spans="1:19">
      <c r="A357" s="158"/>
      <c r="B357" s="58"/>
      <c r="C357" s="23">
        <f t="shared" si="64"/>
        <v>1</v>
      </c>
      <c r="D357" s="718"/>
      <c r="E357" s="23">
        <f t="shared" si="65"/>
        <v>0.05</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5">
        <f t="shared" si="72"/>
        <v>0</v>
      </c>
      <c r="S357" s="360">
        <f t="shared" si="63"/>
        <v>0</v>
      </c>
    </row>
    <row r="358" spans="1:19">
      <c r="A358" s="158"/>
      <c r="B358" s="58"/>
      <c r="C358" s="23">
        <f t="shared" si="64"/>
        <v>1</v>
      </c>
      <c r="D358" s="718"/>
      <c r="E358" s="23">
        <f t="shared" si="65"/>
        <v>0.05</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5">
        <f t="shared" si="72"/>
        <v>0</v>
      </c>
      <c r="S358" s="360">
        <f t="shared" si="63"/>
        <v>0</v>
      </c>
    </row>
    <row r="359" spans="1:19">
      <c r="A359" s="158"/>
      <c r="B359" s="58"/>
      <c r="C359" s="23">
        <f t="shared" si="64"/>
        <v>1</v>
      </c>
      <c r="D359" s="718"/>
      <c r="E359" s="23">
        <f t="shared" si="65"/>
        <v>0.05</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5">
        <f t="shared" si="72"/>
        <v>0</v>
      </c>
      <c r="S359" s="360">
        <f t="shared" si="63"/>
        <v>0</v>
      </c>
    </row>
    <row r="360" spans="1:19">
      <c r="A360" s="158"/>
      <c r="B360" s="58"/>
      <c r="C360" s="23">
        <f t="shared" si="64"/>
        <v>1</v>
      </c>
      <c r="D360" s="718"/>
      <c r="E360" s="23">
        <f t="shared" si="65"/>
        <v>0.05</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5">
        <f t="shared" si="72"/>
        <v>0</v>
      </c>
      <c r="S360" s="360">
        <f t="shared" si="63"/>
        <v>0</v>
      </c>
    </row>
    <row r="361" spans="1:19">
      <c r="A361" s="158"/>
      <c r="B361" s="58"/>
      <c r="C361" s="23">
        <f t="shared" si="64"/>
        <v>1</v>
      </c>
      <c r="D361" s="718"/>
      <c r="E361" s="23">
        <f t="shared" si="65"/>
        <v>0.05</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5">
        <f t="shared" si="72"/>
        <v>0</v>
      </c>
      <c r="S361" s="360">
        <f t="shared" si="63"/>
        <v>0</v>
      </c>
    </row>
    <row r="362" spans="1:19">
      <c r="A362" s="158"/>
      <c r="B362" s="58"/>
      <c r="C362" s="23">
        <f t="shared" si="64"/>
        <v>1</v>
      </c>
      <c r="D362" s="718"/>
      <c r="E362" s="23">
        <f t="shared" si="65"/>
        <v>0.05</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5">
        <f t="shared" si="72"/>
        <v>0</v>
      </c>
      <c r="S362" s="360">
        <f t="shared" si="63"/>
        <v>0</v>
      </c>
    </row>
    <row r="363" spans="1:19">
      <c r="A363" s="158"/>
      <c r="B363" s="58"/>
      <c r="C363" s="23">
        <f t="shared" si="64"/>
        <v>1</v>
      </c>
      <c r="D363" s="718"/>
      <c r="E363" s="23">
        <f t="shared" si="65"/>
        <v>0.05</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5">
        <f t="shared" si="72"/>
        <v>0</v>
      </c>
      <c r="S363" s="360">
        <f t="shared" si="63"/>
        <v>0</v>
      </c>
    </row>
    <row r="364" spans="1:19">
      <c r="A364" s="158"/>
      <c r="B364" s="58"/>
      <c r="C364" s="23">
        <f t="shared" si="64"/>
        <v>1</v>
      </c>
      <c r="D364" s="718"/>
      <c r="E364" s="23">
        <f t="shared" si="65"/>
        <v>0.05</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5">
        <f t="shared" si="72"/>
        <v>0</v>
      </c>
      <c r="S364" s="360">
        <f t="shared" si="63"/>
        <v>0</v>
      </c>
    </row>
    <row r="365" spans="1:19">
      <c r="A365" s="158"/>
      <c r="B365" s="58"/>
      <c r="C365" s="23">
        <f t="shared" si="64"/>
        <v>1</v>
      </c>
      <c r="D365" s="718"/>
      <c r="E365" s="23">
        <f t="shared" si="65"/>
        <v>0.05</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5">
        <f t="shared" si="72"/>
        <v>0</v>
      </c>
      <c r="S365" s="360">
        <f t="shared" si="63"/>
        <v>0</v>
      </c>
    </row>
    <row r="366" spans="1:19">
      <c r="A366" s="158"/>
      <c r="B366" s="58"/>
      <c r="C366" s="23">
        <f t="shared" si="64"/>
        <v>1</v>
      </c>
      <c r="D366" s="718"/>
      <c r="E366" s="23">
        <f t="shared" si="65"/>
        <v>0.05</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5">
        <f t="shared" si="72"/>
        <v>0</v>
      </c>
      <c r="S366" s="360">
        <f t="shared" si="63"/>
        <v>0</v>
      </c>
    </row>
    <row r="367" spans="1:19">
      <c r="A367" s="158"/>
      <c r="B367" s="58"/>
      <c r="C367" s="23">
        <f t="shared" si="64"/>
        <v>1</v>
      </c>
      <c r="D367" s="718"/>
      <c r="E367" s="23">
        <f t="shared" si="65"/>
        <v>0.05</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5">
        <f t="shared" si="72"/>
        <v>0</v>
      </c>
      <c r="S367" s="360">
        <f t="shared" si="63"/>
        <v>0</v>
      </c>
    </row>
    <row r="368" spans="1:19">
      <c r="A368" s="158"/>
      <c r="B368" s="58"/>
      <c r="C368" s="23">
        <f t="shared" si="64"/>
        <v>1</v>
      </c>
      <c r="D368" s="718"/>
      <c r="E368" s="23">
        <f t="shared" si="65"/>
        <v>0.05</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5">
        <f t="shared" si="72"/>
        <v>0</v>
      </c>
      <c r="S368" s="360">
        <f t="shared" si="63"/>
        <v>0</v>
      </c>
    </row>
    <row r="369" spans="1:19">
      <c r="A369" s="158"/>
      <c r="B369" s="58"/>
      <c r="C369" s="23">
        <f t="shared" si="64"/>
        <v>1</v>
      </c>
      <c r="D369" s="718"/>
      <c r="E369" s="23">
        <f t="shared" si="65"/>
        <v>0.05</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5">
        <f t="shared" si="72"/>
        <v>0</v>
      </c>
      <c r="S369" s="360">
        <f t="shared" si="63"/>
        <v>0</v>
      </c>
    </row>
    <row r="370" spans="1:19">
      <c r="A370" s="158"/>
      <c r="B370" s="58"/>
      <c r="C370" s="23">
        <f t="shared" si="64"/>
        <v>1</v>
      </c>
      <c r="D370" s="718"/>
      <c r="E370" s="23">
        <f t="shared" si="65"/>
        <v>0.05</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5">
        <f t="shared" si="72"/>
        <v>0</v>
      </c>
      <c r="S370" s="360">
        <f t="shared" si="63"/>
        <v>0</v>
      </c>
    </row>
    <row r="371" spans="1:19">
      <c r="A371" s="158"/>
      <c r="B371" s="58"/>
      <c r="C371" s="23">
        <f t="shared" si="64"/>
        <v>1</v>
      </c>
      <c r="D371" s="718"/>
      <c r="E371" s="23">
        <f t="shared" si="65"/>
        <v>0.05</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5">
        <f t="shared" si="72"/>
        <v>0</v>
      </c>
      <c r="S371" s="360">
        <f t="shared" si="63"/>
        <v>0</v>
      </c>
    </row>
    <row r="372" spans="1:19">
      <c r="A372" s="158"/>
      <c r="B372" s="58"/>
      <c r="C372" s="23">
        <f t="shared" si="64"/>
        <v>1</v>
      </c>
      <c r="D372" s="718"/>
      <c r="E372" s="23">
        <f t="shared" si="65"/>
        <v>0.05</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5">
        <f t="shared" si="72"/>
        <v>0</v>
      </c>
      <c r="S372" s="360">
        <f t="shared" si="63"/>
        <v>0</v>
      </c>
    </row>
    <row r="373" spans="1:19">
      <c r="A373" s="158"/>
      <c r="B373" s="58"/>
      <c r="C373" s="23">
        <f t="shared" si="64"/>
        <v>1</v>
      </c>
      <c r="D373" s="718"/>
      <c r="E373" s="23">
        <f t="shared" si="65"/>
        <v>0.05</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5">
        <f t="shared" si="72"/>
        <v>0</v>
      </c>
      <c r="S373" s="360">
        <f t="shared" si="63"/>
        <v>0</v>
      </c>
    </row>
    <row r="374" spans="1:19">
      <c r="A374" s="158"/>
      <c r="B374" s="58"/>
      <c r="C374" s="23">
        <f t="shared" si="64"/>
        <v>1</v>
      </c>
      <c r="D374" s="718"/>
      <c r="E374" s="23">
        <f t="shared" si="65"/>
        <v>0.05</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5">
        <f t="shared" si="72"/>
        <v>0</v>
      </c>
      <c r="S374" s="360">
        <f t="shared" si="63"/>
        <v>0</v>
      </c>
    </row>
    <row r="375" spans="1:19">
      <c r="A375" s="158"/>
      <c r="B375" s="58"/>
      <c r="C375" s="23">
        <f t="shared" si="64"/>
        <v>1</v>
      </c>
      <c r="D375" s="718"/>
      <c r="E375" s="23">
        <f t="shared" si="65"/>
        <v>0.05</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5">
        <f t="shared" si="72"/>
        <v>0</v>
      </c>
      <c r="S375" s="360">
        <f t="shared" si="63"/>
        <v>0</v>
      </c>
    </row>
    <row r="376" spans="1:19">
      <c r="A376" s="158"/>
      <c r="B376" s="58"/>
      <c r="C376" s="23">
        <f t="shared" si="64"/>
        <v>1</v>
      </c>
      <c r="D376" s="718"/>
      <c r="E376" s="23">
        <f t="shared" si="65"/>
        <v>0.05</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5">
        <f t="shared" si="72"/>
        <v>0</v>
      </c>
      <c r="S376" s="360">
        <f t="shared" si="63"/>
        <v>0</v>
      </c>
    </row>
    <row r="377" spans="1:19">
      <c r="A377" s="158"/>
      <c r="B377" s="58"/>
      <c r="C377" s="23">
        <f t="shared" si="64"/>
        <v>1</v>
      </c>
      <c r="D377" s="718"/>
      <c r="E377" s="23">
        <f t="shared" si="65"/>
        <v>0.05</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5">
        <f t="shared" si="72"/>
        <v>0</v>
      </c>
      <c r="S377" s="360">
        <f t="shared" si="63"/>
        <v>0</v>
      </c>
    </row>
    <row r="378" spans="1:19">
      <c r="A378" s="158"/>
      <c r="B378" s="58"/>
      <c r="C378" s="23">
        <f t="shared" si="64"/>
        <v>1</v>
      </c>
      <c r="D378" s="718"/>
      <c r="E378" s="23">
        <f t="shared" si="65"/>
        <v>0.05</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5">
        <f t="shared" si="72"/>
        <v>0</v>
      </c>
      <c r="S378" s="360">
        <f t="shared" si="63"/>
        <v>0</v>
      </c>
    </row>
    <row r="379" spans="1:19">
      <c r="A379" s="158"/>
      <c r="B379" s="58"/>
      <c r="C379" s="23">
        <f t="shared" si="64"/>
        <v>1</v>
      </c>
      <c r="D379" s="718"/>
      <c r="E379" s="23">
        <f t="shared" si="65"/>
        <v>0.05</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5">
        <f t="shared" si="72"/>
        <v>0</v>
      </c>
      <c r="S379" s="360">
        <f t="shared" si="63"/>
        <v>0</v>
      </c>
    </row>
    <row r="380" spans="1:19">
      <c r="A380" s="158"/>
      <c r="B380" s="58"/>
      <c r="C380" s="23">
        <f t="shared" si="64"/>
        <v>1</v>
      </c>
      <c r="D380" s="718"/>
      <c r="E380" s="23">
        <f t="shared" si="65"/>
        <v>0.05</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5">
        <f t="shared" si="72"/>
        <v>0</v>
      </c>
      <c r="S380" s="360">
        <f t="shared" si="63"/>
        <v>0</v>
      </c>
    </row>
    <row r="381" spans="1:19">
      <c r="A381" s="158"/>
      <c r="B381" s="58"/>
      <c r="C381" s="23">
        <f t="shared" si="64"/>
        <v>1</v>
      </c>
      <c r="D381" s="718"/>
      <c r="E381" s="23">
        <f t="shared" si="65"/>
        <v>0.05</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5">
        <f t="shared" si="72"/>
        <v>0</v>
      </c>
      <c r="S381" s="360">
        <f t="shared" si="63"/>
        <v>0</v>
      </c>
    </row>
    <row r="382" spans="1:19">
      <c r="A382" s="158"/>
      <c r="B382" s="58"/>
      <c r="C382" s="23">
        <f t="shared" si="64"/>
        <v>1</v>
      </c>
      <c r="D382" s="718"/>
      <c r="E382" s="23">
        <f t="shared" si="65"/>
        <v>0.05</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5">
        <f t="shared" si="72"/>
        <v>0</v>
      </c>
      <c r="S382" s="360">
        <f t="shared" si="63"/>
        <v>0</v>
      </c>
    </row>
    <row r="383" spans="1:19">
      <c r="A383" s="158"/>
      <c r="B383" s="58"/>
      <c r="C383" s="23">
        <f t="shared" si="64"/>
        <v>1</v>
      </c>
      <c r="D383" s="718"/>
      <c r="E383" s="23">
        <f t="shared" si="65"/>
        <v>0.05</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5">
        <f t="shared" si="72"/>
        <v>0</v>
      </c>
      <c r="S383" s="360">
        <f t="shared" si="63"/>
        <v>0</v>
      </c>
    </row>
    <row r="384" spans="1:19">
      <c r="A384" s="158"/>
      <c r="B384" s="58"/>
      <c r="C384" s="23">
        <f t="shared" si="64"/>
        <v>1</v>
      </c>
      <c r="D384" s="718"/>
      <c r="E384" s="23">
        <f t="shared" si="65"/>
        <v>0.05</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5">
        <f t="shared" si="72"/>
        <v>0</v>
      </c>
      <c r="S384" s="360">
        <f t="shared" si="63"/>
        <v>0</v>
      </c>
    </row>
    <row r="385" spans="1:19">
      <c r="A385" s="158"/>
      <c r="B385" s="58"/>
      <c r="C385" s="23">
        <f t="shared" si="64"/>
        <v>1</v>
      </c>
      <c r="D385" s="718"/>
      <c r="E385" s="23">
        <f t="shared" si="65"/>
        <v>0.05</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5">
        <f t="shared" si="72"/>
        <v>0</v>
      </c>
      <c r="S385" s="360">
        <f t="shared" ref="S385:S422" si="73">ROUND(R385*B385/10000,0)</f>
        <v>0</v>
      </c>
    </row>
    <row r="386" spans="1:19">
      <c r="A386" s="158"/>
      <c r="B386" s="58"/>
      <c r="C386" s="23">
        <f t="shared" si="64"/>
        <v>1</v>
      </c>
      <c r="D386" s="718"/>
      <c r="E386" s="23">
        <f t="shared" si="65"/>
        <v>0.05</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5">
        <f t="shared" si="72"/>
        <v>0</v>
      </c>
      <c r="S386" s="360">
        <f t="shared" si="73"/>
        <v>0</v>
      </c>
    </row>
    <row r="387" spans="1:19">
      <c r="A387" s="158"/>
      <c r="B387" s="58"/>
      <c r="C387" s="23">
        <f t="shared" si="64"/>
        <v>1</v>
      </c>
      <c r="D387" s="718"/>
      <c r="E387" s="23">
        <f t="shared" si="65"/>
        <v>0.05</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5">
        <f t="shared" si="72"/>
        <v>0</v>
      </c>
      <c r="S387" s="360">
        <f t="shared" si="73"/>
        <v>0</v>
      </c>
    </row>
    <row r="388" spans="1:19">
      <c r="A388" s="158"/>
      <c r="B388" s="58"/>
      <c r="C388" s="23">
        <f t="shared" si="64"/>
        <v>1</v>
      </c>
      <c r="D388" s="718"/>
      <c r="E388" s="23">
        <f t="shared" si="65"/>
        <v>0.05</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5">
        <f t="shared" si="72"/>
        <v>0</v>
      </c>
      <c r="S388" s="360">
        <f t="shared" si="73"/>
        <v>0</v>
      </c>
    </row>
    <row r="389" spans="1:19">
      <c r="A389" s="158"/>
      <c r="B389" s="58"/>
      <c r="C389" s="23">
        <f t="shared" si="64"/>
        <v>1</v>
      </c>
      <c r="D389" s="718"/>
      <c r="E389" s="23">
        <f t="shared" si="65"/>
        <v>0.05</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5">
        <f t="shared" si="72"/>
        <v>0</v>
      </c>
      <c r="S389" s="360">
        <f t="shared" si="73"/>
        <v>0</v>
      </c>
    </row>
    <row r="390" spans="1:19">
      <c r="A390" s="158"/>
      <c r="B390" s="58"/>
      <c r="C390" s="23">
        <f t="shared" si="64"/>
        <v>1</v>
      </c>
      <c r="D390" s="718"/>
      <c r="E390" s="23">
        <f t="shared" si="65"/>
        <v>0.05</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5">
        <f t="shared" si="72"/>
        <v>0</v>
      </c>
      <c r="S390" s="360">
        <f t="shared" si="73"/>
        <v>0</v>
      </c>
    </row>
    <row r="391" spans="1:19">
      <c r="A391" s="158"/>
      <c r="B391" s="58"/>
      <c r="C391" s="23">
        <f t="shared" si="64"/>
        <v>1</v>
      </c>
      <c r="D391" s="718"/>
      <c r="E391" s="23">
        <f t="shared" si="65"/>
        <v>0.05</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5">
        <f t="shared" si="72"/>
        <v>0</v>
      </c>
      <c r="S391" s="360">
        <f t="shared" si="73"/>
        <v>0</v>
      </c>
    </row>
    <row r="392" spans="1:19">
      <c r="A392" s="158"/>
      <c r="B392" s="58"/>
      <c r="C392" s="23">
        <f t="shared" si="64"/>
        <v>1</v>
      </c>
      <c r="D392" s="718"/>
      <c r="E392" s="23">
        <f t="shared" si="65"/>
        <v>0.05</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5">
        <f t="shared" si="72"/>
        <v>0</v>
      </c>
      <c r="S392" s="360">
        <f t="shared" si="73"/>
        <v>0</v>
      </c>
    </row>
    <row r="393" spans="1:19">
      <c r="A393" s="158"/>
      <c r="B393" s="58"/>
      <c r="C393" s="23">
        <f t="shared" si="64"/>
        <v>1</v>
      </c>
      <c r="D393" s="718"/>
      <c r="E393" s="23">
        <f t="shared" si="65"/>
        <v>0.05</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5">
        <f t="shared" si="72"/>
        <v>0</v>
      </c>
      <c r="S393" s="360">
        <f t="shared" si="73"/>
        <v>0</v>
      </c>
    </row>
    <row r="394" spans="1:19">
      <c r="A394" s="158"/>
      <c r="B394" s="58"/>
      <c r="C394" s="23">
        <f t="shared" si="64"/>
        <v>1</v>
      </c>
      <c r="D394" s="718"/>
      <c r="E394" s="23">
        <f t="shared" si="65"/>
        <v>0.05</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5">
        <f t="shared" si="72"/>
        <v>0</v>
      </c>
      <c r="S394" s="360">
        <f t="shared" si="73"/>
        <v>0</v>
      </c>
    </row>
    <row r="395" spans="1:19">
      <c r="A395" s="158"/>
      <c r="B395" s="58"/>
      <c r="C395" s="23">
        <f t="shared" si="64"/>
        <v>1</v>
      </c>
      <c r="D395" s="718"/>
      <c r="E395" s="23">
        <f t="shared" si="65"/>
        <v>0.05</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5">
        <f t="shared" si="72"/>
        <v>0</v>
      </c>
      <c r="S395" s="360">
        <f t="shared" si="73"/>
        <v>0</v>
      </c>
    </row>
    <row r="396" spans="1:19">
      <c r="A396" s="158"/>
      <c r="B396" s="58"/>
      <c r="C396" s="23">
        <f t="shared" si="64"/>
        <v>1</v>
      </c>
      <c r="D396" s="718"/>
      <c r="E396" s="23">
        <f t="shared" si="65"/>
        <v>0.05</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5">
        <f t="shared" si="72"/>
        <v>0</v>
      </c>
      <c r="S396" s="360">
        <f t="shared" si="73"/>
        <v>0</v>
      </c>
    </row>
    <row r="397" spans="1:19">
      <c r="A397" s="158"/>
      <c r="B397" s="58"/>
      <c r="C397" s="23">
        <f t="shared" si="64"/>
        <v>1</v>
      </c>
      <c r="D397" s="718"/>
      <c r="E397" s="23">
        <f t="shared" si="65"/>
        <v>0.05</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5">
        <f t="shared" si="72"/>
        <v>0</v>
      </c>
      <c r="S397" s="360">
        <f t="shared" si="73"/>
        <v>0</v>
      </c>
    </row>
    <row r="398" spans="1:19">
      <c r="A398" s="158"/>
      <c r="B398" s="58"/>
      <c r="C398" s="23">
        <f t="shared" si="64"/>
        <v>1</v>
      </c>
      <c r="D398" s="718"/>
      <c r="E398" s="23">
        <f t="shared" si="65"/>
        <v>0.05</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5">
        <f t="shared" si="72"/>
        <v>0</v>
      </c>
      <c r="S398" s="360">
        <f t="shared" si="73"/>
        <v>0</v>
      </c>
    </row>
    <row r="399" spans="1:19">
      <c r="A399" s="158"/>
      <c r="B399" s="58"/>
      <c r="C399" s="23">
        <f t="shared" si="64"/>
        <v>1</v>
      </c>
      <c r="D399" s="718"/>
      <c r="E399" s="23">
        <f t="shared" si="65"/>
        <v>0.05</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5">
        <f t="shared" si="72"/>
        <v>0</v>
      </c>
      <c r="S399" s="360">
        <f t="shared" si="73"/>
        <v>0</v>
      </c>
    </row>
    <row r="400" spans="1:19">
      <c r="A400" s="158"/>
      <c r="B400" s="58"/>
      <c r="C400" s="23">
        <f t="shared" si="64"/>
        <v>1</v>
      </c>
      <c r="D400" s="718"/>
      <c r="E400" s="23">
        <f t="shared" si="65"/>
        <v>0.05</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5">
        <f t="shared" si="72"/>
        <v>0</v>
      </c>
      <c r="S400" s="360">
        <f t="shared" si="73"/>
        <v>0</v>
      </c>
    </row>
    <row r="401" spans="1:19">
      <c r="A401" s="158"/>
      <c r="B401" s="58"/>
      <c r="C401" s="23">
        <f t="shared" si="64"/>
        <v>1</v>
      </c>
      <c r="D401" s="718"/>
      <c r="E401" s="23">
        <f t="shared" si="65"/>
        <v>0.05</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5">
        <f t="shared" si="72"/>
        <v>0</v>
      </c>
      <c r="S401" s="360">
        <f t="shared" si="73"/>
        <v>0</v>
      </c>
    </row>
    <row r="402" spans="1:19">
      <c r="A402" s="158"/>
      <c r="B402" s="58"/>
      <c r="C402" s="23">
        <f t="shared" si="64"/>
        <v>1</v>
      </c>
      <c r="D402" s="718"/>
      <c r="E402" s="23">
        <f t="shared" si="65"/>
        <v>0.05</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5">
        <f t="shared" si="72"/>
        <v>0</v>
      </c>
      <c r="S402" s="360">
        <f t="shared" si="73"/>
        <v>0</v>
      </c>
    </row>
    <row r="403" spans="1:19">
      <c r="A403" s="158"/>
      <c r="B403" s="58"/>
      <c r="C403" s="23">
        <f t="shared" si="64"/>
        <v>1</v>
      </c>
      <c r="D403" s="718"/>
      <c r="E403" s="23">
        <f t="shared" si="65"/>
        <v>0.05</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5">
        <f t="shared" si="72"/>
        <v>0</v>
      </c>
      <c r="S403" s="360">
        <f t="shared" si="73"/>
        <v>0</v>
      </c>
    </row>
    <row r="404" spans="1:19">
      <c r="A404" s="158"/>
      <c r="B404" s="58"/>
      <c r="C404" s="23">
        <f t="shared" si="64"/>
        <v>1</v>
      </c>
      <c r="D404" s="718"/>
      <c r="E404" s="23">
        <f t="shared" si="65"/>
        <v>0.05</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5">
        <f t="shared" si="72"/>
        <v>0</v>
      </c>
      <c r="S404" s="360">
        <f t="shared" si="73"/>
        <v>0</v>
      </c>
    </row>
    <row r="405" spans="1:19">
      <c r="A405" s="158"/>
      <c r="B405" s="58"/>
      <c r="C405" s="23">
        <f t="shared" si="64"/>
        <v>1</v>
      </c>
      <c r="D405" s="718"/>
      <c r="E405" s="23">
        <f t="shared" si="65"/>
        <v>0.05</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5">
        <f t="shared" si="72"/>
        <v>0</v>
      </c>
      <c r="S405" s="360">
        <f t="shared" si="73"/>
        <v>0</v>
      </c>
    </row>
    <row r="406" spans="1:19">
      <c r="A406" s="158"/>
      <c r="B406" s="58"/>
      <c r="C406" s="23">
        <f t="shared" si="64"/>
        <v>1</v>
      </c>
      <c r="D406" s="718"/>
      <c r="E406" s="23">
        <f t="shared" si="65"/>
        <v>0.05</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5">
        <f t="shared" si="72"/>
        <v>0</v>
      </c>
      <c r="S406" s="360">
        <f t="shared" si="73"/>
        <v>0</v>
      </c>
    </row>
    <row r="407" spans="1:19">
      <c r="A407" s="158"/>
      <c r="B407" s="58"/>
      <c r="C407" s="23">
        <f t="shared" si="64"/>
        <v>1</v>
      </c>
      <c r="D407" s="718"/>
      <c r="E407" s="23">
        <f t="shared" si="65"/>
        <v>0.05</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5">
        <f t="shared" si="72"/>
        <v>0</v>
      </c>
      <c r="S407" s="360">
        <f t="shared" si="73"/>
        <v>0</v>
      </c>
    </row>
    <row r="408" spans="1:19">
      <c r="A408" s="158"/>
      <c r="B408" s="58"/>
      <c r="C408" s="23">
        <f t="shared" si="64"/>
        <v>1</v>
      </c>
      <c r="D408" s="718"/>
      <c r="E408" s="23">
        <f t="shared" si="65"/>
        <v>0.05</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5">
        <f t="shared" si="72"/>
        <v>0</v>
      </c>
      <c r="S408" s="360">
        <f t="shared" si="73"/>
        <v>0</v>
      </c>
    </row>
    <row r="409" spans="1:19">
      <c r="A409" s="158"/>
      <c r="B409" s="58"/>
      <c r="C409" s="23">
        <f t="shared" si="64"/>
        <v>1</v>
      </c>
      <c r="D409" s="718"/>
      <c r="E409" s="23">
        <f t="shared" si="65"/>
        <v>0.05</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5">
        <f t="shared" si="72"/>
        <v>0</v>
      </c>
      <c r="S409" s="360">
        <f t="shared" si="73"/>
        <v>0</v>
      </c>
    </row>
    <row r="410" spans="1:19">
      <c r="A410" s="158"/>
      <c r="B410" s="58"/>
      <c r="C410" s="23">
        <f t="shared" ref="C410:C473" si="74">IF(B410="",1,(LOOKUP(B410,$3:$3,$4:$4)-LOOKUP($B$24,$3:$3,$4:$4)+100)/100)</f>
        <v>1</v>
      </c>
      <c r="D410" s="718"/>
      <c r="E410" s="23">
        <f t="shared" ref="E410:E473" si="75">(SUMIF($5:$5,D410,$6:$6)-SUMIF($5:$5,$D$24,$6:$6)+100)/100</f>
        <v>0.05</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8"/>
      <c r="E411" s="23">
        <f t="shared" si="75"/>
        <v>0.05</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5">
        <f t="shared" si="82"/>
        <v>0</v>
      </c>
      <c r="S411" s="360">
        <f t="shared" si="73"/>
        <v>0</v>
      </c>
    </row>
    <row r="412" spans="1:19">
      <c r="A412" s="158"/>
      <c r="B412" s="58"/>
      <c r="C412" s="23">
        <f t="shared" si="74"/>
        <v>1</v>
      </c>
      <c r="D412" s="718"/>
      <c r="E412" s="23">
        <f t="shared" si="75"/>
        <v>0.05</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5">
        <f t="shared" si="82"/>
        <v>0</v>
      </c>
      <c r="S412" s="360">
        <f t="shared" si="73"/>
        <v>0</v>
      </c>
    </row>
    <row r="413" spans="1:19">
      <c r="A413" s="158"/>
      <c r="B413" s="58"/>
      <c r="C413" s="23">
        <f t="shared" si="74"/>
        <v>1</v>
      </c>
      <c r="D413" s="718"/>
      <c r="E413" s="23">
        <f t="shared" si="75"/>
        <v>0.05</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5">
        <f t="shared" si="82"/>
        <v>0</v>
      </c>
      <c r="S413" s="360">
        <f t="shared" si="73"/>
        <v>0</v>
      </c>
    </row>
    <row r="414" spans="1:19">
      <c r="A414" s="158"/>
      <c r="B414" s="58"/>
      <c r="C414" s="23">
        <f t="shared" si="74"/>
        <v>1</v>
      </c>
      <c r="D414" s="718"/>
      <c r="E414" s="23">
        <f t="shared" si="75"/>
        <v>0.05</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5">
        <f t="shared" si="82"/>
        <v>0</v>
      </c>
      <c r="S414" s="360">
        <f t="shared" si="73"/>
        <v>0</v>
      </c>
    </row>
    <row r="415" spans="1:19">
      <c r="A415" s="158"/>
      <c r="B415" s="58"/>
      <c r="C415" s="23">
        <f t="shared" si="74"/>
        <v>1</v>
      </c>
      <c r="D415" s="718"/>
      <c r="E415" s="23">
        <f t="shared" si="75"/>
        <v>0.05</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5">
        <f t="shared" si="82"/>
        <v>0</v>
      </c>
      <c r="S415" s="360">
        <f t="shared" si="73"/>
        <v>0</v>
      </c>
    </row>
    <row r="416" spans="1:19">
      <c r="A416" s="158"/>
      <c r="B416" s="58"/>
      <c r="C416" s="23">
        <f t="shared" si="74"/>
        <v>1</v>
      </c>
      <c r="D416" s="718"/>
      <c r="E416" s="23">
        <f t="shared" si="75"/>
        <v>0.05</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5">
        <f t="shared" si="82"/>
        <v>0</v>
      </c>
      <c r="S416" s="360">
        <f t="shared" si="73"/>
        <v>0</v>
      </c>
    </row>
    <row r="417" spans="1:19">
      <c r="A417" s="158"/>
      <c r="B417" s="58"/>
      <c r="C417" s="23">
        <f t="shared" si="74"/>
        <v>1</v>
      </c>
      <c r="D417" s="718"/>
      <c r="E417" s="23">
        <f t="shared" si="75"/>
        <v>0.05</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5">
        <f t="shared" si="82"/>
        <v>0</v>
      </c>
      <c r="S417" s="360">
        <f t="shared" si="73"/>
        <v>0</v>
      </c>
    </row>
    <row r="418" spans="1:19">
      <c r="A418" s="158"/>
      <c r="B418" s="58"/>
      <c r="C418" s="23">
        <f t="shared" si="74"/>
        <v>1</v>
      </c>
      <c r="D418" s="718"/>
      <c r="E418" s="23">
        <f t="shared" si="75"/>
        <v>0.05</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5">
        <f t="shared" si="82"/>
        <v>0</v>
      </c>
      <c r="S418" s="360">
        <f t="shared" si="73"/>
        <v>0</v>
      </c>
    </row>
    <row r="419" spans="1:19">
      <c r="A419" s="158"/>
      <c r="B419" s="58"/>
      <c r="C419" s="23">
        <f t="shared" si="74"/>
        <v>1</v>
      </c>
      <c r="D419" s="718"/>
      <c r="E419" s="23">
        <f t="shared" si="75"/>
        <v>0.05</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5">
        <f t="shared" si="82"/>
        <v>0</v>
      </c>
      <c r="S419" s="360">
        <f t="shared" si="73"/>
        <v>0</v>
      </c>
    </row>
    <row r="420" spans="1:19">
      <c r="A420" s="158"/>
      <c r="B420" s="58"/>
      <c r="C420" s="23">
        <f t="shared" si="74"/>
        <v>1</v>
      </c>
      <c r="D420" s="718"/>
      <c r="E420" s="23">
        <f t="shared" si="75"/>
        <v>0.05</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5">
        <f t="shared" si="82"/>
        <v>0</v>
      </c>
      <c r="S420" s="360">
        <f t="shared" si="73"/>
        <v>0</v>
      </c>
    </row>
    <row r="421" spans="1:19">
      <c r="A421" s="158"/>
      <c r="B421" s="58"/>
      <c r="C421" s="23">
        <f t="shared" si="74"/>
        <v>1</v>
      </c>
      <c r="D421" s="718"/>
      <c r="E421" s="23">
        <f t="shared" si="75"/>
        <v>0.05</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5">
        <f t="shared" si="82"/>
        <v>0</v>
      </c>
      <c r="S421" s="360">
        <f t="shared" si="73"/>
        <v>0</v>
      </c>
    </row>
    <row r="422" spans="1:19">
      <c r="A422" s="158"/>
      <c r="B422" s="58"/>
      <c r="C422" s="23">
        <f t="shared" si="74"/>
        <v>1</v>
      </c>
      <c r="D422" s="718"/>
      <c r="E422" s="23">
        <f t="shared" si="75"/>
        <v>0.05</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5">
        <f t="shared" si="82"/>
        <v>0</v>
      </c>
      <c r="S422" s="360">
        <f t="shared" si="73"/>
        <v>0</v>
      </c>
    </row>
    <row r="423" spans="1:19">
      <c r="A423" s="158"/>
      <c r="B423" s="58"/>
      <c r="C423" s="23">
        <f t="shared" si="74"/>
        <v>1</v>
      </c>
      <c r="D423" s="718"/>
      <c r="E423" s="23">
        <f t="shared" si="75"/>
        <v>0.05</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5">
        <f t="shared" si="82"/>
        <v>0</v>
      </c>
      <c r="S423" s="360">
        <f t="shared" ref="S423:S467" si="83">ROUND(R423*B423/10000,0)</f>
        <v>0</v>
      </c>
    </row>
    <row r="424" spans="1:19">
      <c r="A424" s="158"/>
      <c r="B424" s="58"/>
      <c r="C424" s="23">
        <f t="shared" si="74"/>
        <v>1</v>
      </c>
      <c r="D424" s="718"/>
      <c r="E424" s="23">
        <f t="shared" si="75"/>
        <v>0.05</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5">
        <f t="shared" si="82"/>
        <v>0</v>
      </c>
      <c r="S424" s="360">
        <f t="shared" si="83"/>
        <v>0</v>
      </c>
    </row>
    <row r="425" spans="1:19">
      <c r="A425" s="158"/>
      <c r="B425" s="58"/>
      <c r="C425" s="23">
        <f t="shared" si="74"/>
        <v>1</v>
      </c>
      <c r="D425" s="718"/>
      <c r="E425" s="23">
        <f t="shared" si="75"/>
        <v>0.05</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5">
        <f t="shared" si="82"/>
        <v>0</v>
      </c>
      <c r="S425" s="360">
        <f t="shared" si="83"/>
        <v>0</v>
      </c>
    </row>
    <row r="426" spans="1:19">
      <c r="A426" s="158"/>
      <c r="B426" s="58"/>
      <c r="C426" s="23">
        <f t="shared" si="74"/>
        <v>1</v>
      </c>
      <c r="D426" s="718"/>
      <c r="E426" s="23">
        <f t="shared" si="75"/>
        <v>0.05</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5">
        <f t="shared" si="82"/>
        <v>0</v>
      </c>
      <c r="S426" s="360">
        <f t="shared" si="83"/>
        <v>0</v>
      </c>
    </row>
    <row r="427" spans="1:19">
      <c r="A427" s="158"/>
      <c r="B427" s="58"/>
      <c r="C427" s="23">
        <f t="shared" si="74"/>
        <v>1</v>
      </c>
      <c r="D427" s="718"/>
      <c r="E427" s="23">
        <f t="shared" si="75"/>
        <v>0.05</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5">
        <f t="shared" si="82"/>
        <v>0</v>
      </c>
      <c r="S427" s="360">
        <f t="shared" si="83"/>
        <v>0</v>
      </c>
    </row>
    <row r="428" spans="1:19">
      <c r="A428" s="158"/>
      <c r="B428" s="58"/>
      <c r="C428" s="23">
        <f t="shared" si="74"/>
        <v>1</v>
      </c>
      <c r="D428" s="718"/>
      <c r="E428" s="23">
        <f t="shared" si="75"/>
        <v>0.05</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5">
        <f t="shared" si="82"/>
        <v>0</v>
      </c>
      <c r="S428" s="360">
        <f t="shared" si="83"/>
        <v>0</v>
      </c>
    </row>
    <row r="429" spans="1:19">
      <c r="A429" s="158"/>
      <c r="B429" s="58"/>
      <c r="C429" s="23">
        <f t="shared" si="74"/>
        <v>1</v>
      </c>
      <c r="D429" s="718"/>
      <c r="E429" s="23">
        <f t="shared" si="75"/>
        <v>0.05</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5">
        <f t="shared" si="82"/>
        <v>0</v>
      </c>
      <c r="S429" s="360">
        <f t="shared" si="83"/>
        <v>0</v>
      </c>
    </row>
    <row r="430" spans="1:19">
      <c r="A430" s="158"/>
      <c r="B430" s="58"/>
      <c r="C430" s="23">
        <f t="shared" si="74"/>
        <v>1</v>
      </c>
      <c r="D430" s="718"/>
      <c r="E430" s="23">
        <f t="shared" si="75"/>
        <v>0.05</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5">
        <f t="shared" si="82"/>
        <v>0</v>
      </c>
      <c r="S430" s="360">
        <f t="shared" si="83"/>
        <v>0</v>
      </c>
    </row>
    <row r="431" spans="1:19">
      <c r="A431" s="158"/>
      <c r="B431" s="58"/>
      <c r="C431" s="23">
        <f t="shared" si="74"/>
        <v>1</v>
      </c>
      <c r="D431" s="718"/>
      <c r="E431" s="23">
        <f t="shared" si="75"/>
        <v>0.05</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5">
        <f t="shared" si="82"/>
        <v>0</v>
      </c>
      <c r="S431" s="360">
        <f t="shared" si="83"/>
        <v>0</v>
      </c>
    </row>
    <row r="432" spans="1:19">
      <c r="A432" s="158"/>
      <c r="B432" s="58"/>
      <c r="C432" s="23">
        <f t="shared" si="74"/>
        <v>1</v>
      </c>
      <c r="D432" s="718"/>
      <c r="E432" s="23">
        <f t="shared" si="75"/>
        <v>0.05</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5">
        <f t="shared" si="82"/>
        <v>0</v>
      </c>
      <c r="S432" s="360">
        <f t="shared" si="83"/>
        <v>0</v>
      </c>
    </row>
    <row r="433" spans="1:19">
      <c r="A433" s="158"/>
      <c r="B433" s="58"/>
      <c r="C433" s="23">
        <f t="shared" si="74"/>
        <v>1</v>
      </c>
      <c r="D433" s="718"/>
      <c r="E433" s="23">
        <f t="shared" si="75"/>
        <v>0.05</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5">
        <f t="shared" si="82"/>
        <v>0</v>
      </c>
      <c r="S433" s="360">
        <f t="shared" si="83"/>
        <v>0</v>
      </c>
    </row>
    <row r="434" spans="1:19">
      <c r="A434" s="158"/>
      <c r="B434" s="58"/>
      <c r="C434" s="23">
        <f t="shared" si="74"/>
        <v>1</v>
      </c>
      <c r="D434" s="718"/>
      <c r="E434" s="23">
        <f t="shared" si="75"/>
        <v>0.05</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5">
        <f t="shared" si="82"/>
        <v>0</v>
      </c>
      <c r="S434" s="360">
        <f t="shared" si="83"/>
        <v>0</v>
      </c>
    </row>
    <row r="435" spans="1:19">
      <c r="A435" s="158"/>
      <c r="B435" s="58"/>
      <c r="C435" s="23">
        <f t="shared" si="74"/>
        <v>1</v>
      </c>
      <c r="D435" s="718"/>
      <c r="E435" s="23">
        <f t="shared" si="75"/>
        <v>0.05</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5">
        <f t="shared" si="82"/>
        <v>0</v>
      </c>
      <c r="S435" s="360">
        <f t="shared" si="83"/>
        <v>0</v>
      </c>
    </row>
    <row r="436" spans="1:19">
      <c r="A436" s="158"/>
      <c r="B436" s="58"/>
      <c r="C436" s="23">
        <f t="shared" si="74"/>
        <v>1</v>
      </c>
      <c r="D436" s="718"/>
      <c r="E436" s="23">
        <f t="shared" si="75"/>
        <v>0.05</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5">
        <f t="shared" si="82"/>
        <v>0</v>
      </c>
      <c r="S436" s="360">
        <f t="shared" si="83"/>
        <v>0</v>
      </c>
    </row>
    <row r="437" spans="1:19">
      <c r="A437" s="158"/>
      <c r="B437" s="58"/>
      <c r="C437" s="23">
        <f t="shared" si="74"/>
        <v>1</v>
      </c>
      <c r="D437" s="718"/>
      <c r="E437" s="23">
        <f t="shared" si="75"/>
        <v>0.05</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5">
        <f t="shared" si="82"/>
        <v>0</v>
      </c>
      <c r="S437" s="360">
        <f t="shared" si="83"/>
        <v>0</v>
      </c>
    </row>
    <row r="438" spans="1:19">
      <c r="A438" s="158"/>
      <c r="B438" s="58"/>
      <c r="C438" s="23">
        <f t="shared" si="74"/>
        <v>1</v>
      </c>
      <c r="D438" s="718"/>
      <c r="E438" s="23">
        <f t="shared" si="75"/>
        <v>0.05</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5">
        <f t="shared" si="82"/>
        <v>0</v>
      </c>
      <c r="S438" s="360">
        <f t="shared" si="83"/>
        <v>0</v>
      </c>
    </row>
    <row r="439" spans="1:19">
      <c r="A439" s="158"/>
      <c r="B439" s="58"/>
      <c r="C439" s="23">
        <f t="shared" si="74"/>
        <v>1</v>
      </c>
      <c r="D439" s="718"/>
      <c r="E439" s="23">
        <f t="shared" si="75"/>
        <v>0.05</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5">
        <f t="shared" si="82"/>
        <v>0</v>
      </c>
      <c r="S439" s="360">
        <f t="shared" si="83"/>
        <v>0</v>
      </c>
    </row>
    <row r="440" spans="1:19">
      <c r="A440" s="158"/>
      <c r="B440" s="58"/>
      <c r="C440" s="23">
        <f t="shared" si="74"/>
        <v>1</v>
      </c>
      <c r="D440" s="718"/>
      <c r="E440" s="23">
        <f t="shared" si="75"/>
        <v>0.05</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5">
        <f t="shared" si="82"/>
        <v>0</v>
      </c>
      <c r="S440" s="360">
        <f t="shared" si="83"/>
        <v>0</v>
      </c>
    </row>
    <row r="441" spans="1:19">
      <c r="A441" s="158"/>
      <c r="B441" s="58"/>
      <c r="C441" s="23">
        <f t="shared" si="74"/>
        <v>1</v>
      </c>
      <c r="D441" s="718"/>
      <c r="E441" s="23">
        <f t="shared" si="75"/>
        <v>0.05</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5">
        <f t="shared" si="82"/>
        <v>0</v>
      </c>
      <c r="S441" s="360">
        <f t="shared" si="83"/>
        <v>0</v>
      </c>
    </row>
    <row r="442" spans="1:19">
      <c r="A442" s="158"/>
      <c r="B442" s="58"/>
      <c r="C442" s="23">
        <f t="shared" si="74"/>
        <v>1</v>
      </c>
      <c r="D442" s="718"/>
      <c r="E442" s="23">
        <f t="shared" si="75"/>
        <v>0.05</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5">
        <f t="shared" si="82"/>
        <v>0</v>
      </c>
      <c r="S442" s="360">
        <f t="shared" si="83"/>
        <v>0</v>
      </c>
    </row>
    <row r="443" spans="1:19">
      <c r="A443" s="158"/>
      <c r="B443" s="58"/>
      <c r="C443" s="23">
        <f t="shared" si="74"/>
        <v>1</v>
      </c>
      <c r="D443" s="718"/>
      <c r="E443" s="23">
        <f t="shared" si="75"/>
        <v>0.05</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5">
        <f t="shared" si="82"/>
        <v>0</v>
      </c>
      <c r="S443" s="360">
        <f t="shared" si="83"/>
        <v>0</v>
      </c>
    </row>
    <row r="444" spans="1:19">
      <c r="A444" s="158"/>
      <c r="B444" s="58"/>
      <c r="C444" s="23">
        <f t="shared" si="74"/>
        <v>1</v>
      </c>
      <c r="D444" s="718"/>
      <c r="E444" s="23">
        <f t="shared" si="75"/>
        <v>0.05</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5">
        <f t="shared" si="82"/>
        <v>0</v>
      </c>
      <c r="S444" s="360">
        <f t="shared" si="83"/>
        <v>0</v>
      </c>
    </row>
    <row r="445" spans="1:19">
      <c r="A445" s="158"/>
      <c r="B445" s="58"/>
      <c r="C445" s="23">
        <f t="shared" si="74"/>
        <v>1</v>
      </c>
      <c r="D445" s="718"/>
      <c r="E445" s="23">
        <f t="shared" si="75"/>
        <v>0.05</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5">
        <f t="shared" si="82"/>
        <v>0</v>
      </c>
      <c r="S445" s="360">
        <f t="shared" si="83"/>
        <v>0</v>
      </c>
    </row>
    <row r="446" spans="1:19">
      <c r="A446" s="158"/>
      <c r="B446" s="58"/>
      <c r="C446" s="23">
        <f t="shared" si="74"/>
        <v>1</v>
      </c>
      <c r="D446" s="718"/>
      <c r="E446" s="23">
        <f t="shared" si="75"/>
        <v>0.05</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5">
        <f t="shared" si="82"/>
        <v>0</v>
      </c>
      <c r="S446" s="360">
        <f t="shared" si="83"/>
        <v>0</v>
      </c>
    </row>
    <row r="447" spans="1:19">
      <c r="A447" s="158"/>
      <c r="B447" s="58"/>
      <c r="C447" s="23">
        <f t="shared" si="74"/>
        <v>1</v>
      </c>
      <c r="D447" s="718"/>
      <c r="E447" s="23">
        <f t="shared" si="75"/>
        <v>0.05</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5">
        <f t="shared" si="82"/>
        <v>0</v>
      </c>
      <c r="S447" s="360">
        <f t="shared" si="83"/>
        <v>0</v>
      </c>
    </row>
    <row r="448" spans="1:19">
      <c r="A448" s="158"/>
      <c r="B448" s="58"/>
      <c r="C448" s="23">
        <f t="shared" si="74"/>
        <v>1</v>
      </c>
      <c r="D448" s="718"/>
      <c r="E448" s="23">
        <f t="shared" si="75"/>
        <v>0.05</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5">
        <f t="shared" si="82"/>
        <v>0</v>
      </c>
      <c r="S448" s="360">
        <f t="shared" si="83"/>
        <v>0</v>
      </c>
    </row>
    <row r="449" spans="1:19">
      <c r="A449" s="158"/>
      <c r="B449" s="58"/>
      <c r="C449" s="23">
        <f t="shared" si="74"/>
        <v>1</v>
      </c>
      <c r="D449" s="718"/>
      <c r="E449" s="23">
        <f t="shared" si="75"/>
        <v>0.05</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5">
        <f t="shared" si="82"/>
        <v>0</v>
      </c>
      <c r="S449" s="360">
        <f t="shared" si="83"/>
        <v>0</v>
      </c>
    </row>
    <row r="450" spans="1:19">
      <c r="A450" s="158"/>
      <c r="B450" s="58"/>
      <c r="C450" s="23">
        <f t="shared" si="74"/>
        <v>1</v>
      </c>
      <c r="D450" s="718"/>
      <c r="E450" s="23">
        <f t="shared" si="75"/>
        <v>0.05</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5">
        <f t="shared" si="82"/>
        <v>0</v>
      </c>
      <c r="S450" s="360">
        <f t="shared" si="83"/>
        <v>0</v>
      </c>
    </row>
    <row r="451" spans="1:19">
      <c r="A451" s="158"/>
      <c r="B451" s="58"/>
      <c r="C451" s="23">
        <f t="shared" si="74"/>
        <v>1</v>
      </c>
      <c r="D451" s="718"/>
      <c r="E451" s="23">
        <f t="shared" si="75"/>
        <v>0.05</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5">
        <f t="shared" si="82"/>
        <v>0</v>
      </c>
      <c r="S451" s="360">
        <f t="shared" si="83"/>
        <v>0</v>
      </c>
    </row>
    <row r="452" spans="1:19">
      <c r="A452" s="158"/>
      <c r="B452" s="58"/>
      <c r="C452" s="23">
        <f t="shared" si="74"/>
        <v>1</v>
      </c>
      <c r="D452" s="718"/>
      <c r="E452" s="23">
        <f t="shared" si="75"/>
        <v>0.05</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5">
        <f t="shared" si="82"/>
        <v>0</v>
      </c>
      <c r="S452" s="360">
        <f t="shared" si="83"/>
        <v>0</v>
      </c>
    </row>
    <row r="453" spans="1:19">
      <c r="A453" s="158"/>
      <c r="B453" s="58"/>
      <c r="C453" s="23">
        <f t="shared" si="74"/>
        <v>1</v>
      </c>
      <c r="D453" s="718"/>
      <c r="E453" s="23">
        <f t="shared" si="75"/>
        <v>0.05</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5">
        <f t="shared" si="82"/>
        <v>0</v>
      </c>
      <c r="S453" s="360">
        <f t="shared" si="83"/>
        <v>0</v>
      </c>
    </row>
    <row r="454" spans="1:19">
      <c r="A454" s="158"/>
      <c r="B454" s="58"/>
      <c r="C454" s="23">
        <f t="shared" si="74"/>
        <v>1</v>
      </c>
      <c r="D454" s="718"/>
      <c r="E454" s="23">
        <f t="shared" si="75"/>
        <v>0.05</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5">
        <f t="shared" si="82"/>
        <v>0</v>
      </c>
      <c r="S454" s="360">
        <f t="shared" si="83"/>
        <v>0</v>
      </c>
    </row>
    <row r="455" spans="1:19">
      <c r="A455" s="158"/>
      <c r="B455" s="58"/>
      <c r="C455" s="23">
        <f t="shared" si="74"/>
        <v>1</v>
      </c>
      <c r="D455" s="718"/>
      <c r="E455" s="23">
        <f t="shared" si="75"/>
        <v>0.05</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5">
        <f t="shared" si="82"/>
        <v>0</v>
      </c>
      <c r="S455" s="360">
        <f t="shared" si="83"/>
        <v>0</v>
      </c>
    </row>
    <row r="456" spans="1:19">
      <c r="A456" s="158"/>
      <c r="B456" s="58"/>
      <c r="C456" s="23">
        <f t="shared" si="74"/>
        <v>1</v>
      </c>
      <c r="D456" s="718"/>
      <c r="E456" s="23">
        <f t="shared" si="75"/>
        <v>0.05</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5">
        <f t="shared" si="82"/>
        <v>0</v>
      </c>
      <c r="S456" s="360">
        <f t="shared" si="83"/>
        <v>0</v>
      </c>
    </row>
    <row r="457" spans="1:19">
      <c r="A457" s="158"/>
      <c r="B457" s="58"/>
      <c r="C457" s="23">
        <f t="shared" si="74"/>
        <v>1</v>
      </c>
      <c r="D457" s="718"/>
      <c r="E457" s="23">
        <f t="shared" si="75"/>
        <v>0.05</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5">
        <f t="shared" si="82"/>
        <v>0</v>
      </c>
      <c r="S457" s="360">
        <f t="shared" si="83"/>
        <v>0</v>
      </c>
    </row>
    <row r="458" spans="1:19">
      <c r="A458" s="158"/>
      <c r="B458" s="58"/>
      <c r="C458" s="23">
        <f t="shared" si="74"/>
        <v>1</v>
      </c>
      <c r="D458" s="718"/>
      <c r="E458" s="23">
        <f t="shared" si="75"/>
        <v>0.05</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5">
        <f t="shared" si="82"/>
        <v>0</v>
      </c>
      <c r="S458" s="360">
        <f t="shared" si="83"/>
        <v>0</v>
      </c>
    </row>
    <row r="459" spans="1:19">
      <c r="A459" s="158"/>
      <c r="B459" s="58"/>
      <c r="C459" s="23">
        <f t="shared" si="74"/>
        <v>1</v>
      </c>
      <c r="D459" s="718"/>
      <c r="E459" s="23">
        <f t="shared" si="75"/>
        <v>0.05</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5">
        <f t="shared" si="82"/>
        <v>0</v>
      </c>
      <c r="S459" s="360">
        <f t="shared" si="83"/>
        <v>0</v>
      </c>
    </row>
    <row r="460" spans="1:19">
      <c r="A460" s="158"/>
      <c r="B460" s="58"/>
      <c r="C460" s="23">
        <f t="shared" si="74"/>
        <v>1</v>
      </c>
      <c r="D460" s="718"/>
      <c r="E460" s="23">
        <f t="shared" si="75"/>
        <v>0.05</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5">
        <f t="shared" si="82"/>
        <v>0</v>
      </c>
      <c r="S460" s="360">
        <f t="shared" si="83"/>
        <v>0</v>
      </c>
    </row>
    <row r="461" spans="1:19">
      <c r="A461" s="158"/>
      <c r="B461" s="58"/>
      <c r="C461" s="23">
        <f t="shared" si="74"/>
        <v>1</v>
      </c>
      <c r="D461" s="718"/>
      <c r="E461" s="23">
        <f t="shared" si="75"/>
        <v>0.05</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5">
        <f t="shared" si="82"/>
        <v>0</v>
      </c>
      <c r="S461" s="360">
        <f t="shared" si="83"/>
        <v>0</v>
      </c>
    </row>
    <row r="462" spans="1:19">
      <c r="A462" s="158"/>
      <c r="B462" s="58"/>
      <c r="C462" s="23">
        <f t="shared" si="74"/>
        <v>1</v>
      </c>
      <c r="D462" s="718"/>
      <c r="E462" s="23">
        <f t="shared" si="75"/>
        <v>0.05</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5">
        <f t="shared" si="82"/>
        <v>0</v>
      </c>
      <c r="S462" s="360">
        <f t="shared" si="83"/>
        <v>0</v>
      </c>
    </row>
    <row r="463" spans="1:19">
      <c r="A463" s="158"/>
      <c r="B463" s="58"/>
      <c r="C463" s="23">
        <f t="shared" si="74"/>
        <v>1</v>
      </c>
      <c r="D463" s="718"/>
      <c r="E463" s="23">
        <f t="shared" si="75"/>
        <v>0.05</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5">
        <f t="shared" si="82"/>
        <v>0</v>
      </c>
      <c r="S463" s="360">
        <f t="shared" si="83"/>
        <v>0</v>
      </c>
    </row>
    <row r="464" spans="1:19">
      <c r="A464" s="158"/>
      <c r="B464" s="58"/>
      <c r="C464" s="23">
        <f t="shared" si="74"/>
        <v>1</v>
      </c>
      <c r="D464" s="718"/>
      <c r="E464" s="23">
        <f t="shared" si="75"/>
        <v>0.05</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5">
        <f t="shared" si="82"/>
        <v>0</v>
      </c>
      <c r="S464" s="360">
        <f t="shared" si="83"/>
        <v>0</v>
      </c>
    </row>
    <row r="465" spans="1:19">
      <c r="A465" s="158"/>
      <c r="B465" s="58"/>
      <c r="C465" s="23">
        <f t="shared" si="74"/>
        <v>1</v>
      </c>
      <c r="D465" s="718"/>
      <c r="E465" s="23">
        <f t="shared" si="75"/>
        <v>0.05</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5">
        <f t="shared" si="82"/>
        <v>0</v>
      </c>
      <c r="S465" s="360">
        <f t="shared" si="83"/>
        <v>0</v>
      </c>
    </row>
    <row r="466" spans="1:19">
      <c r="A466" s="158"/>
      <c r="B466" s="58"/>
      <c r="C466" s="23">
        <f t="shared" si="74"/>
        <v>1</v>
      </c>
      <c r="D466" s="718"/>
      <c r="E466" s="23">
        <f t="shared" si="75"/>
        <v>0.05</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5">
        <f t="shared" si="82"/>
        <v>0</v>
      </c>
      <c r="S466" s="360">
        <f t="shared" si="83"/>
        <v>0</v>
      </c>
    </row>
    <row r="467" spans="1:19">
      <c r="A467" s="158"/>
      <c r="B467" s="58"/>
      <c r="C467" s="23">
        <f t="shared" si="74"/>
        <v>1</v>
      </c>
      <c r="D467" s="718"/>
      <c r="E467" s="23">
        <f t="shared" si="75"/>
        <v>0.05</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5">
        <f t="shared" si="82"/>
        <v>0</v>
      </c>
      <c r="S467" s="360">
        <f t="shared" si="83"/>
        <v>0</v>
      </c>
    </row>
    <row r="468" spans="1:19">
      <c r="A468" s="158"/>
      <c r="B468" s="58"/>
      <c r="C468" s="23">
        <f t="shared" si="74"/>
        <v>1</v>
      </c>
      <c r="D468" s="718"/>
      <c r="E468" s="23">
        <f t="shared" si="75"/>
        <v>0.05</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5">
        <f t="shared" si="82"/>
        <v>0</v>
      </c>
      <c r="S468" s="360">
        <f t="shared" ref="S468:S497" si="84">ROUND(R468*B468/10000,0)</f>
        <v>0</v>
      </c>
    </row>
    <row r="469" spans="1:19">
      <c r="A469" s="158"/>
      <c r="B469" s="58"/>
      <c r="C469" s="23">
        <f t="shared" si="74"/>
        <v>1</v>
      </c>
      <c r="D469" s="718"/>
      <c r="E469" s="23">
        <f t="shared" si="75"/>
        <v>0.05</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5">
        <f t="shared" si="82"/>
        <v>0</v>
      </c>
      <c r="S469" s="360">
        <f t="shared" si="84"/>
        <v>0</v>
      </c>
    </row>
    <row r="470" spans="1:19">
      <c r="A470" s="158"/>
      <c r="B470" s="58"/>
      <c r="C470" s="23">
        <f t="shared" si="74"/>
        <v>1</v>
      </c>
      <c r="D470" s="718"/>
      <c r="E470" s="23">
        <f t="shared" si="75"/>
        <v>0.05</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5">
        <f t="shared" si="82"/>
        <v>0</v>
      </c>
      <c r="S470" s="360">
        <f t="shared" si="84"/>
        <v>0</v>
      </c>
    </row>
    <row r="471" spans="1:19">
      <c r="A471" s="158"/>
      <c r="B471" s="58"/>
      <c r="C471" s="23">
        <f t="shared" si="74"/>
        <v>1</v>
      </c>
      <c r="D471" s="718"/>
      <c r="E471" s="23">
        <f t="shared" si="75"/>
        <v>0.05</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5">
        <f t="shared" si="82"/>
        <v>0</v>
      </c>
      <c r="S471" s="360">
        <f t="shared" si="84"/>
        <v>0</v>
      </c>
    </row>
    <row r="472" spans="1:19">
      <c r="A472" s="158"/>
      <c r="B472" s="58"/>
      <c r="C472" s="23">
        <f t="shared" si="74"/>
        <v>1</v>
      </c>
      <c r="D472" s="718"/>
      <c r="E472" s="23">
        <f t="shared" si="75"/>
        <v>0.05</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5">
        <f t="shared" si="82"/>
        <v>0</v>
      </c>
      <c r="S472" s="360">
        <f t="shared" si="84"/>
        <v>0</v>
      </c>
    </row>
    <row r="473" spans="1:19">
      <c r="A473" s="158"/>
      <c r="B473" s="58"/>
      <c r="C473" s="23">
        <f t="shared" si="74"/>
        <v>1</v>
      </c>
      <c r="D473" s="718"/>
      <c r="E473" s="23">
        <f t="shared" si="75"/>
        <v>0.05</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5">
        <f t="shared" si="82"/>
        <v>0</v>
      </c>
      <c r="S473" s="360">
        <f t="shared" si="84"/>
        <v>0</v>
      </c>
    </row>
    <row r="474" spans="1:19">
      <c r="A474" s="158"/>
      <c r="B474" s="58"/>
      <c r="C474" s="23">
        <f t="shared" ref="C474:C524" si="85">IF(B474="",1,(LOOKUP(B474,$3:$3,$4:$4)-LOOKUP($B$24,$3:$3,$4:$4)+100)/100)</f>
        <v>1</v>
      </c>
      <c r="D474" s="718"/>
      <c r="E474" s="23">
        <f t="shared" ref="E474:E524" si="86">(SUMIF($5:$5,D474,$6:$6)-SUMIF($5:$5,$D$24,$6:$6)+100)/100</f>
        <v>0.05</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8"/>
      <c r="E475" s="23">
        <f t="shared" si="86"/>
        <v>0.05</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5">
        <f t="shared" si="93"/>
        <v>0</v>
      </c>
      <c r="S475" s="360">
        <f t="shared" si="84"/>
        <v>0</v>
      </c>
    </row>
    <row r="476" spans="1:19">
      <c r="A476" s="158"/>
      <c r="B476" s="58"/>
      <c r="C476" s="23">
        <f t="shared" si="85"/>
        <v>1</v>
      </c>
      <c r="D476" s="718"/>
      <c r="E476" s="23">
        <f t="shared" si="86"/>
        <v>0.05</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5">
        <f t="shared" si="93"/>
        <v>0</v>
      </c>
      <c r="S476" s="360">
        <f t="shared" si="84"/>
        <v>0</v>
      </c>
    </row>
    <row r="477" spans="1:19">
      <c r="A477" s="158"/>
      <c r="B477" s="58"/>
      <c r="C477" s="23">
        <f t="shared" si="85"/>
        <v>1</v>
      </c>
      <c r="D477" s="718"/>
      <c r="E477" s="23">
        <f t="shared" si="86"/>
        <v>0.05</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5">
        <f t="shared" si="93"/>
        <v>0</v>
      </c>
      <c r="S477" s="360">
        <f t="shared" si="84"/>
        <v>0</v>
      </c>
    </row>
    <row r="478" spans="1:19">
      <c r="A478" s="158"/>
      <c r="B478" s="58"/>
      <c r="C478" s="23">
        <f t="shared" si="85"/>
        <v>1</v>
      </c>
      <c r="D478" s="718"/>
      <c r="E478" s="23">
        <f t="shared" si="86"/>
        <v>0.05</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5">
        <f t="shared" si="93"/>
        <v>0</v>
      </c>
      <c r="S478" s="360">
        <f t="shared" si="84"/>
        <v>0</v>
      </c>
    </row>
    <row r="479" spans="1:19">
      <c r="A479" s="158"/>
      <c r="B479" s="58"/>
      <c r="C479" s="23">
        <f t="shared" si="85"/>
        <v>1</v>
      </c>
      <c r="D479" s="718"/>
      <c r="E479" s="23">
        <f t="shared" si="86"/>
        <v>0.05</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5">
        <f t="shared" si="93"/>
        <v>0</v>
      </c>
      <c r="S479" s="360">
        <f t="shared" si="84"/>
        <v>0</v>
      </c>
    </row>
    <row r="480" spans="1:19">
      <c r="A480" s="158"/>
      <c r="B480" s="58"/>
      <c r="C480" s="23">
        <f t="shared" si="85"/>
        <v>1</v>
      </c>
      <c r="D480" s="718"/>
      <c r="E480" s="23">
        <f t="shared" si="86"/>
        <v>0.05</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5">
        <f t="shared" si="93"/>
        <v>0</v>
      </c>
      <c r="S480" s="360">
        <f t="shared" si="84"/>
        <v>0</v>
      </c>
    </row>
    <row r="481" spans="1:19">
      <c r="A481" s="158"/>
      <c r="B481" s="58"/>
      <c r="C481" s="23">
        <f t="shared" si="85"/>
        <v>1</v>
      </c>
      <c r="D481" s="718"/>
      <c r="E481" s="23">
        <f t="shared" si="86"/>
        <v>0.05</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5">
        <f t="shared" si="93"/>
        <v>0</v>
      </c>
      <c r="S481" s="360">
        <f t="shared" si="84"/>
        <v>0</v>
      </c>
    </row>
    <row r="482" spans="1:19">
      <c r="A482" s="158"/>
      <c r="B482" s="58"/>
      <c r="C482" s="23">
        <f t="shared" si="85"/>
        <v>1</v>
      </c>
      <c r="D482" s="718"/>
      <c r="E482" s="23">
        <f t="shared" si="86"/>
        <v>0.05</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5">
        <f t="shared" si="93"/>
        <v>0</v>
      </c>
      <c r="S482" s="360">
        <f t="shared" si="84"/>
        <v>0</v>
      </c>
    </row>
    <row r="483" spans="1:19">
      <c r="A483" s="158"/>
      <c r="B483" s="58"/>
      <c r="C483" s="23">
        <f t="shared" si="85"/>
        <v>1</v>
      </c>
      <c r="D483" s="718"/>
      <c r="E483" s="23">
        <f t="shared" si="86"/>
        <v>0.05</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5">
        <f t="shared" si="93"/>
        <v>0</v>
      </c>
      <c r="S483" s="360">
        <f t="shared" si="84"/>
        <v>0</v>
      </c>
    </row>
    <row r="484" spans="1:19">
      <c r="A484" s="158"/>
      <c r="B484" s="58"/>
      <c r="C484" s="23">
        <f t="shared" si="85"/>
        <v>1</v>
      </c>
      <c r="D484" s="718"/>
      <c r="E484" s="23">
        <f t="shared" si="86"/>
        <v>0.05</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5">
        <f t="shared" si="93"/>
        <v>0</v>
      </c>
      <c r="S484" s="360">
        <f t="shared" si="84"/>
        <v>0</v>
      </c>
    </row>
    <row r="485" spans="1:19">
      <c r="A485" s="158"/>
      <c r="B485" s="58"/>
      <c r="C485" s="23">
        <f t="shared" si="85"/>
        <v>1</v>
      </c>
      <c r="D485" s="718"/>
      <c r="E485" s="23">
        <f t="shared" si="86"/>
        <v>0.05</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5">
        <f t="shared" si="93"/>
        <v>0</v>
      </c>
      <c r="S485" s="360">
        <f t="shared" si="84"/>
        <v>0</v>
      </c>
    </row>
    <row r="486" spans="1:19">
      <c r="A486" s="158"/>
      <c r="B486" s="58"/>
      <c r="C486" s="23">
        <f t="shared" si="85"/>
        <v>1</v>
      </c>
      <c r="D486" s="718"/>
      <c r="E486" s="23">
        <f t="shared" si="86"/>
        <v>0.05</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5">
        <f t="shared" si="93"/>
        <v>0</v>
      </c>
      <c r="S486" s="360">
        <f t="shared" si="84"/>
        <v>0</v>
      </c>
    </row>
    <row r="487" spans="1:19">
      <c r="A487" s="158"/>
      <c r="B487" s="58"/>
      <c r="C487" s="23">
        <f t="shared" si="85"/>
        <v>1</v>
      </c>
      <c r="D487" s="718"/>
      <c r="E487" s="23">
        <f t="shared" si="86"/>
        <v>0.05</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5">
        <f t="shared" si="93"/>
        <v>0</v>
      </c>
      <c r="S487" s="360">
        <f t="shared" si="84"/>
        <v>0</v>
      </c>
    </row>
    <row r="488" spans="1:19">
      <c r="A488" s="158"/>
      <c r="B488" s="58"/>
      <c r="C488" s="23">
        <f t="shared" si="85"/>
        <v>1</v>
      </c>
      <c r="D488" s="718"/>
      <c r="E488" s="23">
        <f t="shared" si="86"/>
        <v>0.05</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5">
        <f t="shared" si="93"/>
        <v>0</v>
      </c>
      <c r="S488" s="360">
        <f t="shared" si="84"/>
        <v>0</v>
      </c>
    </row>
    <row r="489" spans="1:19">
      <c r="A489" s="158"/>
      <c r="B489" s="58"/>
      <c r="C489" s="23">
        <f t="shared" si="85"/>
        <v>1</v>
      </c>
      <c r="D489" s="718"/>
      <c r="E489" s="23">
        <f t="shared" si="86"/>
        <v>0.05</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5">
        <f t="shared" si="93"/>
        <v>0</v>
      </c>
      <c r="S489" s="360">
        <f t="shared" si="84"/>
        <v>0</v>
      </c>
    </row>
    <row r="490" spans="1:19">
      <c r="A490" s="158"/>
      <c r="B490" s="58"/>
      <c r="C490" s="23">
        <f t="shared" si="85"/>
        <v>1</v>
      </c>
      <c r="D490" s="718"/>
      <c r="E490" s="23">
        <f t="shared" si="86"/>
        <v>0.05</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5">
        <f t="shared" si="93"/>
        <v>0</v>
      </c>
      <c r="S490" s="360">
        <f t="shared" si="84"/>
        <v>0</v>
      </c>
    </row>
    <row r="491" spans="1:19">
      <c r="A491" s="158"/>
      <c r="B491" s="58"/>
      <c r="C491" s="23">
        <f t="shared" si="85"/>
        <v>1</v>
      </c>
      <c r="D491" s="718"/>
      <c r="E491" s="23">
        <f t="shared" si="86"/>
        <v>0.05</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5">
        <f t="shared" si="93"/>
        <v>0</v>
      </c>
      <c r="S491" s="360">
        <f t="shared" si="84"/>
        <v>0</v>
      </c>
    </row>
    <row r="492" spans="1:19">
      <c r="A492" s="158"/>
      <c r="B492" s="58"/>
      <c r="C492" s="23">
        <f t="shared" si="85"/>
        <v>1</v>
      </c>
      <c r="D492" s="718"/>
      <c r="E492" s="23">
        <f t="shared" si="86"/>
        <v>0.05</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5">
        <f t="shared" si="93"/>
        <v>0</v>
      </c>
      <c r="S492" s="360">
        <f t="shared" si="84"/>
        <v>0</v>
      </c>
    </row>
    <row r="493" spans="1:19">
      <c r="A493" s="158"/>
      <c r="B493" s="58"/>
      <c r="C493" s="23">
        <f t="shared" si="85"/>
        <v>1</v>
      </c>
      <c r="D493" s="718"/>
      <c r="E493" s="23">
        <f t="shared" si="86"/>
        <v>0.05</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5">
        <f t="shared" si="93"/>
        <v>0</v>
      </c>
      <c r="S493" s="360">
        <f t="shared" si="84"/>
        <v>0</v>
      </c>
    </row>
    <row r="494" spans="1:19">
      <c r="A494" s="158"/>
      <c r="B494" s="58"/>
      <c r="C494" s="23">
        <f t="shared" si="85"/>
        <v>1</v>
      </c>
      <c r="D494" s="718"/>
      <c r="E494" s="23">
        <f t="shared" si="86"/>
        <v>0.05</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5">
        <f t="shared" si="93"/>
        <v>0</v>
      </c>
      <c r="S494" s="360">
        <f t="shared" si="84"/>
        <v>0</v>
      </c>
    </row>
    <row r="495" spans="1:19">
      <c r="A495" s="158"/>
      <c r="B495" s="58"/>
      <c r="C495" s="23">
        <f t="shared" si="85"/>
        <v>1</v>
      </c>
      <c r="D495" s="718"/>
      <c r="E495" s="23">
        <f t="shared" si="86"/>
        <v>0.05</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5">
        <f t="shared" si="93"/>
        <v>0</v>
      </c>
      <c r="S495" s="360">
        <f t="shared" si="84"/>
        <v>0</v>
      </c>
    </row>
    <row r="496" spans="1:19">
      <c r="A496" s="158"/>
      <c r="B496" s="58"/>
      <c r="C496" s="23">
        <f t="shared" si="85"/>
        <v>1</v>
      </c>
      <c r="D496" s="718"/>
      <c r="E496" s="23">
        <f t="shared" si="86"/>
        <v>0.05</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5">
        <f t="shared" si="93"/>
        <v>0</v>
      </c>
      <c r="S496" s="360">
        <f t="shared" si="84"/>
        <v>0</v>
      </c>
    </row>
    <row r="497" spans="1:19">
      <c r="A497" s="158"/>
      <c r="B497" s="58"/>
      <c r="C497" s="23">
        <f t="shared" si="85"/>
        <v>1</v>
      </c>
      <c r="D497" s="718"/>
      <c r="E497" s="23">
        <f t="shared" si="86"/>
        <v>0.05</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5">
        <f t="shared" si="93"/>
        <v>0</v>
      </c>
      <c r="S497" s="360">
        <f t="shared" si="84"/>
        <v>0</v>
      </c>
    </row>
    <row r="498" spans="1:19">
      <c r="A498" s="158"/>
      <c r="B498" s="58"/>
      <c r="C498" s="23">
        <f t="shared" si="85"/>
        <v>1</v>
      </c>
      <c r="D498" s="718"/>
      <c r="E498" s="23">
        <f t="shared" si="86"/>
        <v>0.05</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5">
        <f t="shared" si="93"/>
        <v>0</v>
      </c>
      <c r="S498" s="360">
        <f t="shared" ref="S498:S524" si="94">ROUND(R498*B498/10000,0)</f>
        <v>0</v>
      </c>
    </row>
    <row r="499" spans="1:19">
      <c r="A499" s="158"/>
      <c r="B499" s="58"/>
      <c r="C499" s="23">
        <f t="shared" si="85"/>
        <v>1</v>
      </c>
      <c r="D499" s="718"/>
      <c r="E499" s="23">
        <f t="shared" si="86"/>
        <v>0.05</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5">
        <f t="shared" si="93"/>
        <v>0</v>
      </c>
      <c r="S499" s="360">
        <f t="shared" si="94"/>
        <v>0</v>
      </c>
    </row>
    <row r="500" spans="1:19">
      <c r="A500" s="158"/>
      <c r="B500" s="58"/>
      <c r="C500" s="23">
        <f t="shared" si="85"/>
        <v>1</v>
      </c>
      <c r="D500" s="718"/>
      <c r="E500" s="23">
        <f t="shared" si="86"/>
        <v>0.05</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5">
        <f t="shared" si="93"/>
        <v>0</v>
      </c>
      <c r="S500" s="360">
        <f t="shared" si="94"/>
        <v>0</v>
      </c>
    </row>
    <row r="501" spans="1:19">
      <c r="A501" s="158"/>
      <c r="B501" s="58"/>
      <c r="C501" s="23">
        <f t="shared" si="85"/>
        <v>1</v>
      </c>
      <c r="D501" s="718"/>
      <c r="E501" s="23">
        <f t="shared" si="86"/>
        <v>0.05</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5">
        <f t="shared" si="93"/>
        <v>0</v>
      </c>
      <c r="S501" s="360">
        <f t="shared" si="94"/>
        <v>0</v>
      </c>
    </row>
    <row r="502" spans="1:19">
      <c r="A502" s="158"/>
      <c r="B502" s="58"/>
      <c r="C502" s="23">
        <f t="shared" si="85"/>
        <v>1</v>
      </c>
      <c r="D502" s="718"/>
      <c r="E502" s="23">
        <f t="shared" si="86"/>
        <v>0.05</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5">
        <f t="shared" si="93"/>
        <v>0</v>
      </c>
      <c r="S502" s="360">
        <f t="shared" si="94"/>
        <v>0</v>
      </c>
    </row>
    <row r="503" spans="1:19">
      <c r="A503" s="158"/>
      <c r="B503" s="58"/>
      <c r="C503" s="23">
        <f t="shared" si="85"/>
        <v>1</v>
      </c>
      <c r="D503" s="718"/>
      <c r="E503" s="23">
        <f t="shared" si="86"/>
        <v>0.05</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5">
        <f t="shared" si="93"/>
        <v>0</v>
      </c>
      <c r="S503" s="360">
        <f t="shared" si="94"/>
        <v>0</v>
      </c>
    </row>
    <row r="504" spans="1:19">
      <c r="A504" s="158"/>
      <c r="B504" s="58"/>
      <c r="C504" s="23">
        <f t="shared" si="85"/>
        <v>1</v>
      </c>
      <c r="D504" s="718"/>
      <c r="E504" s="23">
        <f t="shared" si="86"/>
        <v>0.05</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5">
        <f t="shared" si="93"/>
        <v>0</v>
      </c>
      <c r="S504" s="360">
        <f t="shared" si="94"/>
        <v>0</v>
      </c>
    </row>
    <row r="505" spans="1:19">
      <c r="A505" s="158"/>
      <c r="B505" s="58"/>
      <c r="C505" s="23">
        <f t="shared" si="85"/>
        <v>1</v>
      </c>
      <c r="D505" s="718"/>
      <c r="E505" s="23">
        <f t="shared" si="86"/>
        <v>0.05</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5">
        <f t="shared" si="93"/>
        <v>0</v>
      </c>
      <c r="S505" s="360">
        <f t="shared" si="94"/>
        <v>0</v>
      </c>
    </row>
    <row r="506" spans="1:19">
      <c r="A506" s="158"/>
      <c r="B506" s="58"/>
      <c r="C506" s="23">
        <f t="shared" si="85"/>
        <v>1</v>
      </c>
      <c r="D506" s="718"/>
      <c r="E506" s="23">
        <f t="shared" si="86"/>
        <v>0.05</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5">
        <f t="shared" si="93"/>
        <v>0</v>
      </c>
      <c r="S506" s="360">
        <f t="shared" si="94"/>
        <v>0</v>
      </c>
    </row>
    <row r="507" spans="1:19">
      <c r="A507" s="158"/>
      <c r="B507" s="58"/>
      <c r="C507" s="23">
        <f t="shared" si="85"/>
        <v>1</v>
      </c>
      <c r="D507" s="718"/>
      <c r="E507" s="23">
        <f t="shared" si="86"/>
        <v>0.05</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5">
        <f t="shared" si="93"/>
        <v>0</v>
      </c>
      <c r="S507" s="360">
        <f t="shared" si="94"/>
        <v>0</v>
      </c>
    </row>
    <row r="508" spans="1:19">
      <c r="A508" s="158"/>
      <c r="B508" s="58"/>
      <c r="C508" s="23">
        <f t="shared" si="85"/>
        <v>1</v>
      </c>
      <c r="D508" s="718"/>
      <c r="E508" s="23">
        <f t="shared" si="86"/>
        <v>0.05</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5">
        <f t="shared" si="93"/>
        <v>0</v>
      </c>
      <c r="S508" s="360">
        <f t="shared" si="94"/>
        <v>0</v>
      </c>
    </row>
    <row r="509" spans="1:19">
      <c r="A509" s="158"/>
      <c r="B509" s="58"/>
      <c r="C509" s="23">
        <f t="shared" si="85"/>
        <v>1</v>
      </c>
      <c r="D509" s="718"/>
      <c r="E509" s="23">
        <f t="shared" si="86"/>
        <v>0.05</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5">
        <f t="shared" si="93"/>
        <v>0</v>
      </c>
      <c r="S509" s="360">
        <f t="shared" si="94"/>
        <v>0</v>
      </c>
    </row>
    <row r="510" spans="1:19">
      <c r="A510" s="158"/>
      <c r="B510" s="58"/>
      <c r="C510" s="23">
        <f t="shared" si="85"/>
        <v>1</v>
      </c>
      <c r="D510" s="718"/>
      <c r="E510" s="23">
        <f t="shared" si="86"/>
        <v>0.05</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5">
        <f t="shared" si="93"/>
        <v>0</v>
      </c>
      <c r="S510" s="360">
        <f t="shared" si="94"/>
        <v>0</v>
      </c>
    </row>
    <row r="511" spans="1:19">
      <c r="A511" s="158"/>
      <c r="B511" s="58"/>
      <c r="C511" s="23">
        <f t="shared" si="85"/>
        <v>1</v>
      </c>
      <c r="D511" s="718"/>
      <c r="E511" s="23">
        <f t="shared" si="86"/>
        <v>0.05</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5">
        <f t="shared" si="93"/>
        <v>0</v>
      </c>
      <c r="S511" s="360">
        <f t="shared" si="94"/>
        <v>0</v>
      </c>
    </row>
    <row r="512" spans="1:19">
      <c r="A512" s="158"/>
      <c r="B512" s="58"/>
      <c r="C512" s="23">
        <f t="shared" si="85"/>
        <v>1</v>
      </c>
      <c r="D512" s="718"/>
      <c r="E512" s="23">
        <f t="shared" si="86"/>
        <v>0.05</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5">
        <f t="shared" si="93"/>
        <v>0</v>
      </c>
      <c r="S512" s="360">
        <f t="shared" si="94"/>
        <v>0</v>
      </c>
    </row>
    <row r="513" spans="1:19">
      <c r="A513" s="158"/>
      <c r="B513" s="58"/>
      <c r="C513" s="23">
        <f t="shared" si="85"/>
        <v>1</v>
      </c>
      <c r="D513" s="718"/>
      <c r="E513" s="23">
        <f t="shared" si="86"/>
        <v>0.05</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5">
        <f t="shared" si="93"/>
        <v>0</v>
      </c>
      <c r="S513" s="360">
        <f t="shared" si="94"/>
        <v>0</v>
      </c>
    </row>
    <row r="514" spans="1:19">
      <c r="A514" s="158"/>
      <c r="B514" s="58"/>
      <c r="C514" s="23">
        <f t="shared" si="85"/>
        <v>1</v>
      </c>
      <c r="D514" s="718"/>
      <c r="E514" s="23">
        <f t="shared" si="86"/>
        <v>0.05</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5">
        <f t="shared" si="93"/>
        <v>0</v>
      </c>
      <c r="S514" s="360">
        <f t="shared" si="94"/>
        <v>0</v>
      </c>
    </row>
    <row r="515" spans="1:19">
      <c r="A515" s="158"/>
      <c r="B515" s="58"/>
      <c r="C515" s="23">
        <f t="shared" si="85"/>
        <v>1</v>
      </c>
      <c r="D515" s="718"/>
      <c r="E515" s="23">
        <f t="shared" si="86"/>
        <v>0.05</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5">
        <f t="shared" si="93"/>
        <v>0</v>
      </c>
      <c r="S515" s="360">
        <f t="shared" si="94"/>
        <v>0</v>
      </c>
    </row>
    <row r="516" spans="1:19">
      <c r="A516" s="158"/>
      <c r="B516" s="58"/>
      <c r="C516" s="23">
        <f t="shared" si="85"/>
        <v>1</v>
      </c>
      <c r="D516" s="718"/>
      <c r="E516" s="23">
        <f t="shared" si="86"/>
        <v>0.05</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5">
        <f t="shared" si="93"/>
        <v>0</v>
      </c>
      <c r="S516" s="360">
        <f t="shared" si="94"/>
        <v>0</v>
      </c>
    </row>
    <row r="517" spans="1:19">
      <c r="A517" s="158"/>
      <c r="B517" s="58"/>
      <c r="C517" s="23">
        <f t="shared" si="85"/>
        <v>1</v>
      </c>
      <c r="D517" s="718"/>
      <c r="E517" s="23">
        <f t="shared" si="86"/>
        <v>0.05</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5">
        <f t="shared" si="93"/>
        <v>0</v>
      </c>
      <c r="S517" s="360">
        <f t="shared" si="94"/>
        <v>0</v>
      </c>
    </row>
    <row r="518" spans="1:19">
      <c r="A518" s="158"/>
      <c r="B518" s="58"/>
      <c r="C518" s="23">
        <f t="shared" si="85"/>
        <v>1</v>
      </c>
      <c r="D518" s="718"/>
      <c r="E518" s="23">
        <f t="shared" si="86"/>
        <v>0.05</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5">
        <f t="shared" si="93"/>
        <v>0</v>
      </c>
      <c r="S518" s="360">
        <f t="shared" si="94"/>
        <v>0</v>
      </c>
    </row>
    <row r="519" spans="1:19">
      <c r="A519" s="158"/>
      <c r="B519" s="58"/>
      <c r="C519" s="23">
        <f t="shared" si="85"/>
        <v>1</v>
      </c>
      <c r="D519" s="718"/>
      <c r="E519" s="23">
        <f t="shared" si="86"/>
        <v>0.05</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5">
        <f t="shared" si="93"/>
        <v>0</v>
      </c>
      <c r="S519" s="360">
        <f t="shared" si="94"/>
        <v>0</v>
      </c>
    </row>
    <row r="520" spans="1:19">
      <c r="A520" s="158"/>
      <c r="B520" s="58"/>
      <c r="C520" s="23">
        <f t="shared" si="85"/>
        <v>1</v>
      </c>
      <c r="D520" s="718"/>
      <c r="E520" s="23">
        <f t="shared" si="86"/>
        <v>0.05</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5">
        <f t="shared" si="93"/>
        <v>0</v>
      </c>
      <c r="S520" s="360">
        <f t="shared" si="94"/>
        <v>0</v>
      </c>
    </row>
    <row r="521" spans="1:19">
      <c r="A521" s="158"/>
      <c r="B521" s="58"/>
      <c r="C521" s="23">
        <f t="shared" si="85"/>
        <v>1</v>
      </c>
      <c r="D521" s="718"/>
      <c r="E521" s="23">
        <f t="shared" si="86"/>
        <v>0.05</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5">
        <f t="shared" si="93"/>
        <v>0</v>
      </c>
      <c r="S521" s="360">
        <f t="shared" si="94"/>
        <v>0</v>
      </c>
    </row>
    <row r="522" spans="1:19">
      <c r="A522" s="158"/>
      <c r="B522" s="58"/>
      <c r="C522" s="23">
        <f t="shared" si="85"/>
        <v>1</v>
      </c>
      <c r="D522" s="718"/>
      <c r="E522" s="23">
        <f t="shared" si="86"/>
        <v>0.05</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5">
        <f t="shared" si="93"/>
        <v>0</v>
      </c>
      <c r="S522" s="360">
        <f t="shared" si="94"/>
        <v>0</v>
      </c>
    </row>
    <row r="523" spans="1:19">
      <c r="A523" s="158"/>
      <c r="B523" s="58"/>
      <c r="C523" s="23">
        <f t="shared" si="85"/>
        <v>1</v>
      </c>
      <c r="D523" s="718"/>
      <c r="E523" s="23">
        <f t="shared" si="86"/>
        <v>0.05</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5">
        <f t="shared" si="93"/>
        <v>0</v>
      </c>
      <c r="S523" s="360">
        <f t="shared" si="94"/>
        <v>0</v>
      </c>
    </row>
    <row r="524" spans="1:19">
      <c r="A524" s="158"/>
      <c r="B524" s="58"/>
      <c r="C524" s="23">
        <f t="shared" si="85"/>
        <v>1</v>
      </c>
      <c r="D524" s="718"/>
      <c r="E524" s="23">
        <f t="shared" si="86"/>
        <v>0.05</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估价结果一览表（市场价值不需“结果表-1”）</v>
      </c>
      <c r="B3" s="2991"/>
      <c r="C3" s="2991"/>
      <c r="D3" s="2991"/>
      <c r="E3" s="2991"/>
    </row>
    <row r="4" spans="1:5" ht="19.5" thickBot="1">
      <c r="A4" s="1959"/>
      <c r="B4" s="2989" t="s">
        <v>1625</v>
      </c>
      <c r="C4" s="2989"/>
      <c r="D4" s="2989"/>
      <c r="E4" s="1959"/>
    </row>
    <row r="5" spans="1:5" ht="16.5" thickTop="1">
      <c r="A5" s="1957"/>
      <c r="B5" s="2987" t="s">
        <v>1617</v>
      </c>
      <c r="C5" s="1960" t="s">
        <v>1618</v>
      </c>
      <c r="D5" s="1038">
        <f ca="1">结果表!H101</f>
        <v>2580</v>
      </c>
      <c r="E5" s="1957"/>
    </row>
    <row r="6" spans="1:5" ht="15.75">
      <c r="A6" s="1957"/>
      <c r="B6" s="2987"/>
      <c r="C6" s="1960" t="s">
        <v>1619</v>
      </c>
      <c r="D6" s="1038" t="str">
        <f ca="1">NUMBERSTRING(INT(D5*10000),2)&amp;"元整"</f>
        <v>贰仟伍佰捌拾万元整</v>
      </c>
      <c r="E6" s="1957"/>
    </row>
    <row r="7" spans="1:5" ht="15.75">
      <c r="A7" s="1957"/>
      <c r="B7" s="2992"/>
      <c r="C7" s="1961" t="s">
        <v>1620</v>
      </c>
      <c r="D7" s="1039">
        <f ca="1">结果表!H102</f>
        <v>11647</v>
      </c>
      <c r="E7" s="1957"/>
    </row>
    <row r="8" spans="1:5" ht="15.75">
      <c r="A8" s="1957"/>
      <c r="B8" s="2993" t="str">
        <f>结果表!E103</f>
        <v>2.估价师知悉的法定优先受偿款</v>
      </c>
      <c r="C8" s="1962" t="s">
        <v>1621</v>
      </c>
      <c r="D8" s="1039">
        <f>结果表!H103</f>
        <v>0</v>
      </c>
      <c r="E8" s="1957"/>
    </row>
    <row r="9" spans="1:5" ht="15.75">
      <c r="A9" s="1957"/>
      <c r="B9" s="2995"/>
      <c r="C9" s="1960" t="s">
        <v>1619</v>
      </c>
      <c r="D9" s="1038" t="str">
        <f>NUMBERSTRING(INT(D8*10000),2)&amp;"元整"</f>
        <v>零元整</v>
      </c>
      <c r="E9" s="1957"/>
    </row>
    <row r="10" spans="1:5" ht="15">
      <c r="A10" s="1957"/>
      <c r="B10" s="1963" t="s">
        <v>1624</v>
      </c>
      <c r="C10" s="1964" t="s">
        <v>1622</v>
      </c>
      <c r="D10" s="1040">
        <f>结果表!H104</f>
        <v>0</v>
      </c>
      <c r="E10" s="1957"/>
    </row>
    <row r="11" spans="1:5" ht="15">
      <c r="A11" s="1957"/>
      <c r="B11" s="1963" t="s">
        <v>1626</v>
      </c>
      <c r="C11" s="1964" t="s">
        <v>1627</v>
      </c>
      <c r="D11" s="1040">
        <f>结果表!H105</f>
        <v>0</v>
      </c>
      <c r="E11" s="1957"/>
    </row>
    <row r="12" spans="1:5" ht="15">
      <c r="A12" s="1957"/>
      <c r="B12" s="1963" t="s">
        <v>1628</v>
      </c>
      <c r="C12" s="1964" t="s">
        <v>1627</v>
      </c>
      <c r="D12" s="1040">
        <f>结果表!H106</f>
        <v>0</v>
      </c>
      <c r="E12" s="1957"/>
    </row>
    <row r="13" spans="1:5" ht="15.75">
      <c r="A13" s="1957"/>
      <c r="B13" s="2986" t="str">
        <f>结果表!E107</f>
        <v>3.房地产抵押价值</v>
      </c>
      <c r="C13" s="1965" t="s">
        <v>1618</v>
      </c>
      <c r="D13" s="1041">
        <f ca="1">结果表!H107</f>
        <v>2580</v>
      </c>
      <c r="E13" s="1957"/>
    </row>
    <row r="14" spans="1:5" ht="15.75">
      <c r="A14" s="1957"/>
      <c r="B14" s="2987"/>
      <c r="C14" s="1960" t="s">
        <v>1619</v>
      </c>
      <c r="D14" s="1038" t="str">
        <f ca="1">NUMBERSTRING(INT(D13*10000),2)&amp;"元整"</f>
        <v>贰仟伍佰捌拾万元整</v>
      </c>
      <c r="E14" s="1957"/>
    </row>
    <row r="15" spans="1:5" ht="15">
      <c r="A15" s="1957"/>
      <c r="B15" s="2992"/>
      <c r="C15" s="1961" t="s">
        <v>1629</v>
      </c>
      <c r="D15" s="1050">
        <f ca="1">结果表!H108</f>
        <v>11647</v>
      </c>
      <c r="E15" s="1957"/>
    </row>
    <row r="16" spans="1:5" ht="15">
      <c r="A16" s="1957"/>
      <c r="B16" s="2993" t="str">
        <f>结果表!E109</f>
        <v>——</v>
      </c>
      <c r="C16" s="1965" t="s">
        <v>1630</v>
      </c>
      <c r="D16" s="1966" t="str">
        <f>结果表!H109</f>
        <v>——</v>
      </c>
      <c r="E16" s="1957"/>
    </row>
    <row r="17" spans="1:5" ht="15.75">
      <c r="A17" s="1957"/>
      <c r="B17" s="2994"/>
      <c r="C17" s="1960" t="s">
        <v>1631</v>
      </c>
      <c r="D17" s="1038" t="e">
        <f>NUMBERSTRING(INT(D16*10000),2)&amp;"元整"</f>
        <v>#VALUE!</v>
      </c>
      <c r="E17" s="1957"/>
    </row>
    <row r="18" spans="1:5" ht="15">
      <c r="A18" s="1957"/>
      <c r="B18" s="2995"/>
      <c r="C18" s="1961" t="s">
        <v>1620</v>
      </c>
      <c r="D18" s="1050" t="str">
        <f>结果表!H110</f>
        <v>——</v>
      </c>
      <c r="E18" s="1957"/>
    </row>
    <row r="19" spans="1:5" ht="15.75">
      <c r="A19" s="1957"/>
      <c r="B19" s="2986" t="str">
        <f>结果表!E111</f>
        <v>——</v>
      </c>
      <c r="C19" s="1965" t="s">
        <v>1618</v>
      </c>
      <c r="D19" s="1039" t="str">
        <f>结果表!H111</f>
        <v>——</v>
      </c>
      <c r="E19" s="1957"/>
    </row>
    <row r="20" spans="1:5" ht="15.75">
      <c r="A20" s="1957"/>
      <c r="B20" s="2987"/>
      <c r="C20" s="1960" t="s">
        <v>1631</v>
      </c>
      <c r="D20" s="1038" t="e">
        <f>NUMBERSTRING(INT(D19*10000),2)&amp;"元整"</f>
        <v>#VALUE!</v>
      </c>
      <c r="E20" s="1957"/>
    </row>
    <row r="21" spans="1:5" ht="15.75" thickBot="1">
      <c r="A21" s="1957"/>
      <c r="B21" s="2988"/>
      <c r="C21" s="1967" t="s">
        <v>1629</v>
      </c>
      <c r="D21" s="1051"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zoomScalePageLayoutView="80" workbookViewId="0">
      <selection activeCell="A4" sqref="A4:J4"/>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2116</v>
      </c>
      <c r="B1" s="2418"/>
      <c r="C1" s="2419" t="s">
        <v>3058</v>
      </c>
      <c r="D1" s="2418"/>
      <c r="E1" s="2418"/>
      <c r="F1" s="2420" t="s">
        <v>2117</v>
      </c>
      <c r="G1" s="2069" t="s">
        <v>3084</v>
      </c>
      <c r="H1" s="2421" t="str">
        <f>IF(G1="现房","——","估价对象范围")</f>
        <v>——</v>
      </c>
      <c r="I1" s="2422"/>
    </row>
    <row r="2" spans="1:12" ht="21.75" customHeight="1" thickBot="1">
      <c r="A2" s="3150" t="str">
        <f>项目基本情况!S2</f>
        <v>出让国有建设用地使用权及在建建筑物房地产</v>
      </c>
      <c r="B2" s="3151"/>
      <c r="C2" s="3151"/>
      <c r="D2" s="3151"/>
      <c r="E2" s="3151"/>
      <c r="F2" s="3151"/>
      <c r="G2" s="3151"/>
      <c r="H2" s="3151"/>
      <c r="I2" s="3152"/>
    </row>
    <row r="3" spans="1:12" ht="12.75">
      <c r="A3" s="3153" t="s">
        <v>2119</v>
      </c>
      <c r="B3" s="3154"/>
      <c r="C3" s="3154"/>
      <c r="D3" s="3154"/>
      <c r="E3" s="3154"/>
      <c r="F3" s="3154"/>
      <c r="G3" s="3154"/>
      <c r="H3" s="3154"/>
      <c r="I3" s="3154"/>
    </row>
    <row r="4" spans="1:12" ht="14.25">
      <c r="A4" s="2425" t="s">
        <v>2120</v>
      </c>
      <c r="B4" s="2426" t="s">
        <v>2121</v>
      </c>
      <c r="C4" s="2427" t="s">
        <v>3085</v>
      </c>
      <c r="D4" s="2427" t="s">
        <v>3079</v>
      </c>
      <c r="E4" s="3134" t="s">
        <v>2122</v>
      </c>
      <c r="F4" s="3147"/>
      <c r="G4" s="3147"/>
      <c r="H4" s="3147"/>
      <c r="I4" s="3135"/>
      <c r="K4" s="2428" t="str">
        <f>IF(ISNUMBER(FIND("比较法",'结果表-住宅'!C4)),"比较法",IF(ISNUMBER(FIND("成本法",'结果表-住宅'!C4)),"成本法",IF(ISNUMBER(FIND("假设开发法",'结果表-住宅'!C4)),"假设开发法",IF(ISNUMBER(FIND("收益法",'结果表-住宅'!C4)),"收益法","基准地价系数修正法"))))</f>
        <v>比较法</v>
      </c>
      <c r="L4" s="2428"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25" t="s">
        <v>2123</v>
      </c>
      <c r="B5" s="3051">
        <v>25</v>
      </c>
      <c r="C5" s="3155"/>
      <c r="D5" s="3143"/>
      <c r="E5" s="139" t="s">
        <v>2124</v>
      </c>
      <c r="F5" s="2429"/>
      <c r="G5" s="2429"/>
      <c r="H5" s="2429"/>
      <c r="I5" s="1829"/>
    </row>
    <row r="6" spans="1:12" ht="12.75">
      <c r="A6" s="3125"/>
      <c r="B6" s="3051"/>
      <c r="C6" s="3157"/>
      <c r="D6" s="3143"/>
      <c r="E6" s="139" t="s">
        <v>2125</v>
      </c>
      <c r="F6" s="2429"/>
      <c r="G6" s="2429"/>
      <c r="H6" s="2429"/>
      <c r="I6" s="1829"/>
    </row>
    <row r="7" spans="1:12" ht="12.75">
      <c r="A7" s="3125"/>
      <c r="B7" s="3051"/>
      <c r="C7" s="3156"/>
      <c r="D7" s="3143"/>
      <c r="E7" s="139" t="s">
        <v>2126</v>
      </c>
      <c r="F7" s="2429"/>
      <c r="G7" s="2429"/>
      <c r="H7" s="2429"/>
      <c r="I7" s="1829"/>
    </row>
    <row r="8" spans="1:12" ht="12.75">
      <c r="A8" s="3125" t="s">
        <v>2127</v>
      </c>
      <c r="B8" s="3051">
        <v>15</v>
      </c>
      <c r="C8" s="3155"/>
      <c r="D8" s="3143"/>
      <c r="E8" s="139" t="s">
        <v>2128</v>
      </c>
      <c r="F8" s="2429"/>
      <c r="G8" s="2429"/>
      <c r="H8" s="2429"/>
      <c r="I8" s="1829"/>
    </row>
    <row r="9" spans="1:12" ht="12.75">
      <c r="A9" s="3125"/>
      <c r="B9" s="3051"/>
      <c r="C9" s="3156"/>
      <c r="D9" s="3143"/>
      <c r="E9" s="139" t="s">
        <v>2129</v>
      </c>
      <c r="F9" s="2429"/>
      <c r="G9" s="2429"/>
      <c r="H9" s="2429"/>
      <c r="I9" s="1829"/>
    </row>
    <row r="10" spans="1:12" ht="12.75">
      <c r="A10" s="3125" t="s">
        <v>2130</v>
      </c>
      <c r="B10" s="3051">
        <v>15</v>
      </c>
      <c r="C10" s="3155"/>
      <c r="D10" s="3143"/>
      <c r="E10" s="139" t="s">
        <v>2131</v>
      </c>
      <c r="F10" s="2429"/>
      <c r="G10" s="2429"/>
      <c r="H10" s="2429"/>
      <c r="I10" s="1829"/>
    </row>
    <row r="11" spans="1:12" ht="12.75">
      <c r="A11" s="3125"/>
      <c r="B11" s="3051"/>
      <c r="C11" s="3156"/>
      <c r="D11" s="3143"/>
      <c r="E11" s="139" t="s">
        <v>2132</v>
      </c>
      <c r="F11" s="2429"/>
      <c r="G11" s="2429"/>
      <c r="H11" s="2429"/>
      <c r="I11" s="1829"/>
    </row>
    <row r="12" spans="1:12" ht="12.75">
      <c r="A12" s="3125" t="s">
        <v>2133</v>
      </c>
      <c r="B12" s="3051">
        <v>15</v>
      </c>
      <c r="C12" s="3155"/>
      <c r="D12" s="3143"/>
      <c r="E12" s="139" t="s">
        <v>2134</v>
      </c>
      <c r="F12" s="2429"/>
      <c r="G12" s="2429"/>
      <c r="H12" s="2429"/>
      <c r="I12" s="1829"/>
    </row>
    <row r="13" spans="1:12" ht="12.75">
      <c r="A13" s="3125"/>
      <c r="B13" s="3051"/>
      <c r="C13" s="3156"/>
      <c r="D13" s="3143"/>
      <c r="E13" s="139" t="s">
        <v>2135</v>
      </c>
      <c r="F13" s="2429"/>
      <c r="G13" s="2429"/>
      <c r="H13" s="2429"/>
      <c r="I13" s="1829"/>
    </row>
    <row r="14" spans="1:12" ht="12.75">
      <c r="A14" s="3125" t="s">
        <v>2136</v>
      </c>
      <c r="B14" s="3051">
        <v>30</v>
      </c>
      <c r="C14" s="3155">
        <v>8</v>
      </c>
      <c r="D14" s="3143">
        <v>2</v>
      </c>
      <c r="E14" s="139" t="s">
        <v>2137</v>
      </c>
      <c r="F14" s="2429"/>
      <c r="G14" s="2429"/>
      <c r="H14" s="2429"/>
      <c r="I14" s="1829"/>
    </row>
    <row r="15" spans="1:12" ht="12.75">
      <c r="A15" s="3125"/>
      <c r="B15" s="3051"/>
      <c r="C15" s="3157"/>
      <c r="D15" s="3143"/>
      <c r="E15" s="139" t="s">
        <v>2138</v>
      </c>
      <c r="F15" s="2429"/>
      <c r="G15" s="2429"/>
      <c r="H15" s="2429"/>
      <c r="I15" s="1829"/>
    </row>
    <row r="16" spans="1:12" ht="12.75">
      <c r="A16" s="3125"/>
      <c r="B16" s="3051"/>
      <c r="C16" s="3156"/>
      <c r="D16" s="3143"/>
      <c r="E16" s="139" t="s">
        <v>2139</v>
      </c>
      <c r="F16" s="2429"/>
      <c r="G16" s="2429"/>
      <c r="H16" s="2429"/>
      <c r="I16" s="1829"/>
    </row>
    <row r="17" spans="1:35" ht="15">
      <c r="A17" s="2430" t="s">
        <v>2140</v>
      </c>
      <c r="B17" s="63"/>
      <c r="C17" s="140">
        <f>SUM(C5:C16)</f>
        <v>8</v>
      </c>
      <c r="D17" s="140">
        <f>SUM(D5:D16)</f>
        <v>2</v>
      </c>
      <c r="E17" s="137"/>
      <c r="F17" s="137"/>
      <c r="G17" s="137"/>
      <c r="H17" s="137"/>
      <c r="I17" s="137"/>
      <c r="K17" s="2428"/>
      <c r="L17" s="2431" t="s">
        <v>2141</v>
      </c>
      <c r="M17" s="2431" t="s">
        <v>2142</v>
      </c>
    </row>
    <row r="18" spans="1:35" ht="15.75" thickBot="1">
      <c r="A18" s="2432" t="s">
        <v>2143</v>
      </c>
      <c r="B18" s="2433"/>
      <c r="C18" s="141">
        <f>ROUND(C17/SUM(C17:D17),2)</f>
        <v>0.8</v>
      </c>
      <c r="D18" s="141">
        <f>1-C18</f>
        <v>0.19999999999999996</v>
      </c>
      <c r="E18" s="137"/>
      <c r="F18" s="137"/>
      <c r="G18" s="137"/>
      <c r="H18" s="137"/>
      <c r="I18" s="137"/>
      <c r="K18" s="2428" t="s">
        <v>2144</v>
      </c>
      <c r="L18" s="2428">
        <f>IF(C1="",'数据-汇总表'!E3,SUMIF(项目类型,C1,'数据-汇总表'!E17:E26)+SUMIF(项目类型,C1,'数据-汇总表'!I17:I26))</f>
        <v>0</v>
      </c>
      <c r="M18" s="2428">
        <f>IF(C1="",'数据-汇总表'!E3,SUMIF(项目类型,C1,'数据-汇总表'!E17:E26))</f>
        <v>0</v>
      </c>
    </row>
    <row r="19" spans="1:35" ht="15">
      <c r="A19" s="2434" t="s">
        <v>2145</v>
      </c>
      <c r="B19" s="2435" t="s">
        <v>2146</v>
      </c>
      <c r="C19" s="142" t="e">
        <f ca="1">SUMIF(INDIRECT("'"&amp;C4&amp;"'"&amp;"!A:A"),'结果表-住宅'!B19,INDIRECT("'"&amp;C4&amp;"'"&amp;"!B:B"))</f>
        <v>#N/A</v>
      </c>
      <c r="D19" s="143" t="e">
        <f ca="1">SUMIF(INDIRECT("'"&amp;D4&amp;"'"&amp;"!A:A"),'结果表-住宅'!B19,INDIRECT("'"&amp;D4&amp;"'"&amp;"!B:B"))</f>
        <v>#N/A</v>
      </c>
      <c r="E19" s="2434" t="s">
        <v>2147</v>
      </c>
      <c r="F19" s="2435" t="s">
        <v>2146</v>
      </c>
      <c r="G19" s="144" t="e">
        <f ca="1">ROUND(C19*$C$18+D19*$D$18,0)</f>
        <v>#N/A</v>
      </c>
      <c r="H19" s="2436" t="s">
        <v>2148</v>
      </c>
      <c r="I19" s="137"/>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5" t="s">
        <v>2150</v>
      </c>
      <c r="C20" s="145" t="e">
        <f ca="1">SUMIF(INDIRECT("'"&amp;C4&amp;"'"&amp;"!A:A"),'结果表-住宅'!B20,INDIRECT("'"&amp;C4&amp;"'"&amp;"!B:B"))</f>
        <v>#N/A</v>
      </c>
      <c r="D20" s="146">
        <f ca="1">SUMIF(INDIRECT("'"&amp;D4&amp;"'"&amp;"!A:A"),'结果表-住宅'!B20,INDIRECT("'"&amp;D4&amp;"'"&amp;"!B:B"))</f>
        <v>0</v>
      </c>
      <c r="E20" s="2437"/>
      <c r="F20" s="1245" t="s">
        <v>2150</v>
      </c>
      <c r="G20" s="147" t="e">
        <f ca="1">ROUND(C20*$C$18+D20*$D$18,0)</f>
        <v>#N/A</v>
      </c>
      <c r="H20" s="978" t="s">
        <v>2151</v>
      </c>
      <c r="I20" s="137"/>
    </row>
    <row r="21" spans="1:35" ht="15" customHeight="1" thickBot="1">
      <c r="A21" s="998"/>
      <c r="B21" s="2438" t="s">
        <v>2152</v>
      </c>
      <c r="C21" s="787" t="e">
        <f ca="1">ROUND(C19*10000/L19,0)</f>
        <v>#N/A</v>
      </c>
      <c r="D21" s="788" t="e">
        <f ca="1">ROUND(D19*10000/L19,0)</f>
        <v>#N/A</v>
      </c>
      <c r="E21" s="998"/>
      <c r="F21" s="2438" t="s">
        <v>2152</v>
      </c>
      <c r="G21" s="148" t="e">
        <f ca="1">ROUND(G19*10000/L19,0)</f>
        <v>#N/A</v>
      </c>
      <c r="H21" s="2439" t="s">
        <v>2151</v>
      </c>
      <c r="I21" s="137"/>
    </row>
    <row r="22" spans="1:35" ht="15" thickBot="1">
      <c r="A22" s="2280" t="s">
        <v>2153</v>
      </c>
      <c r="B22" s="2440"/>
      <c r="C22" s="2441"/>
      <c r="D22" s="789" t="e">
        <f ca="1">IF(C19&lt;D19,D19/C19-1,C19/D19-1)</f>
        <v>#N/A</v>
      </c>
      <c r="E22" s="137"/>
      <c r="F22" s="137"/>
      <c r="G22" s="137"/>
      <c r="H22" s="137"/>
      <c r="I22" s="137"/>
    </row>
    <row r="23" spans="1:35" ht="13.5" thickBot="1">
      <c r="A23" s="2418"/>
      <c r="B23" s="2418"/>
      <c r="C23" s="2418"/>
      <c r="D23" s="2418"/>
      <c r="E23" s="137"/>
      <c r="F23" s="137"/>
      <c r="G23" s="137"/>
      <c r="H23" s="137"/>
      <c r="I23" s="137"/>
    </row>
    <row r="24" spans="1:35" ht="14.25">
      <c r="A24" s="3164" t="s">
        <v>2154</v>
      </c>
      <c r="B24" s="2435" t="s">
        <v>2146</v>
      </c>
      <c r="C24" s="144">
        <f>IF(B30=0,0,D30)</f>
        <v>0</v>
      </c>
      <c r="D24" s="2442"/>
      <c r="E24" s="137"/>
      <c r="F24" s="137"/>
      <c r="G24" s="137"/>
      <c r="H24" s="137"/>
      <c r="I24" s="137"/>
    </row>
    <row r="25" spans="1:35" ht="14.25">
      <c r="A25" s="3165"/>
      <c r="B25" s="1245" t="s">
        <v>2150</v>
      </c>
      <c r="C25" s="149">
        <f>IF(B30=0,0,C30)</f>
        <v>0</v>
      </c>
      <c r="D25" s="2443"/>
      <c r="E25" s="137"/>
      <c r="F25" s="137"/>
      <c r="G25" s="137"/>
      <c r="H25" s="137"/>
      <c r="I25" s="137"/>
    </row>
    <row r="26" spans="1:35" ht="13.5" customHeight="1">
      <c r="A26" s="2444" t="s">
        <v>2155</v>
      </c>
      <c r="B26" s="150" t="s">
        <v>2156</v>
      </c>
      <c r="C26" s="150" t="s">
        <v>2157</v>
      </c>
      <c r="D26" s="151" t="s">
        <v>2158</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2159</v>
      </c>
      <c r="B30" s="150"/>
      <c r="C30" s="150"/>
      <c r="D30" s="150"/>
      <c r="E30" s="2917" t="s">
        <v>3033</v>
      </c>
      <c r="F30" s="137"/>
      <c r="G30" s="137"/>
      <c r="H30" s="137"/>
      <c r="I30" s="137"/>
    </row>
    <row r="31" spans="1:35" s="2446" customFormat="1" ht="15" thickBot="1">
      <c r="A31" s="2445"/>
      <c r="B31" s="2445"/>
      <c r="C31" s="2445"/>
      <c r="D31" s="2445"/>
      <c r="E31" s="137"/>
      <c r="F31" s="137"/>
      <c r="G31" s="137"/>
      <c r="H31" s="137"/>
      <c r="I31" s="137"/>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2160</v>
      </c>
      <c r="B32" s="2448"/>
      <c r="C32" s="152" t="e">
        <f ca="1">IF(D32="总价",G19-C24,G20-C25)</f>
        <v>#N/A</v>
      </c>
      <c r="D32" s="2449" t="s">
        <v>2161</v>
      </c>
      <c r="E32" s="137"/>
      <c r="F32" s="137"/>
      <c r="G32" s="137"/>
      <c r="H32" s="137"/>
      <c r="I32" s="137"/>
    </row>
    <row r="33" spans="1:15" ht="15">
      <c r="A33" s="955" t="s">
        <v>2162</v>
      </c>
      <c r="B33" s="2450"/>
      <c r="C33" s="2451"/>
      <c r="D33" s="2452"/>
      <c r="E33" s="2453" t="s">
        <v>2163</v>
      </c>
      <c r="F33" s="2953" t="str">
        <f>IF(D32="楼面单价","取值（单价）","取值（总价）")</f>
        <v>取值（总价）</v>
      </c>
      <c r="G33" s="137"/>
      <c r="H33" s="137"/>
      <c r="I33" s="137"/>
    </row>
    <row r="34" spans="1:15" ht="15">
      <c r="A34" s="2455"/>
      <c r="B34" s="2456" t="s">
        <v>2164</v>
      </c>
      <c r="C34" s="156" t="e">
        <f ca="1">IF(C33="自定义",F34,C32-C35)</f>
        <v>#N/A</v>
      </c>
      <c r="D34" s="1053" t="e">
        <f ca="1">IF(C33="自定义",ROUND(C34/C32,3),IF(C33="收益比率",SUMIF(INDIRECT("'"&amp;D33&amp;"'"&amp;"!b:b"),"土地收益比率",INDIRECT("'"&amp;D33&amp;"'"&amp;"!c:c")),SUMIF(INDIRECT("'"&amp;D33&amp;"'"&amp;"!b:b"),"土地成本比率",INDIRECT("'"&amp;D33&amp;"'"&amp;"!c:c"))))</f>
        <v>#REF!</v>
      </c>
      <c r="E34" s="2457" t="s">
        <v>2165</v>
      </c>
      <c r="F34" s="1734"/>
      <c r="G34" s="137"/>
      <c r="H34" s="137"/>
      <c r="I34" s="137"/>
    </row>
    <row r="35" spans="1:15" ht="15.75" thickBot="1">
      <c r="A35" s="2458"/>
      <c r="B35" s="2459" t="s">
        <v>2166</v>
      </c>
      <c r="C35" s="1439" t="e">
        <f ca="1">IF(C33="自定义",F35,ROUND(C32*D35,0))</f>
        <v>#N/A</v>
      </c>
      <c r="D35" s="1440" t="e">
        <f ca="1">IF(C33="自定义",ROUND(C35/C32,3),IF(C33="收益比率",SUMIF(INDIRECT("'"&amp;D33&amp;"'"&amp;"!b:b"),"建筑物收益比率",INDIRECT("'"&amp;D33&amp;"'"&amp;"!c:c")),SUMIF(INDIRECT("'"&amp;D33&amp;"'"&amp;"!b:b"),"建筑物成本比率",INDIRECT("'"&amp;D33&amp;"'"&amp;"!c:c"))))</f>
        <v>#REF!</v>
      </c>
      <c r="E35" s="2460" t="s">
        <v>2167</v>
      </c>
      <c r="F35" s="162"/>
      <c r="G35" s="137"/>
      <c r="H35" s="137"/>
      <c r="I35" s="137"/>
    </row>
    <row r="36" spans="1:15" ht="15.75" thickBot="1">
      <c r="A36" s="3144" t="s">
        <v>2168</v>
      </c>
      <c r="B36" s="2461" t="s">
        <v>2169</v>
      </c>
      <c r="C36" s="153"/>
      <c r="D36" s="2462"/>
      <c r="E36" s="2463"/>
      <c r="F36" s="2464"/>
      <c r="G36" s="137"/>
      <c r="H36" s="137"/>
      <c r="I36" s="137"/>
    </row>
    <row r="37" spans="1:15" ht="15.75" thickBot="1">
      <c r="A37" s="3145"/>
      <c r="B37" s="2266" t="s">
        <v>2170</v>
      </c>
      <c r="C37" s="155"/>
      <c r="D37" s="1390"/>
      <c r="E37" s="1390"/>
      <c r="F37" s="2464"/>
      <c r="G37" s="137"/>
      <c r="H37" s="137"/>
      <c r="I37" s="137"/>
    </row>
    <row r="38" spans="1:15" ht="15.75" thickBot="1">
      <c r="A38" s="3146"/>
      <c r="B38" s="2465" t="s">
        <v>2171</v>
      </c>
      <c r="C38" s="725"/>
      <c r="D38" s="2466" t="s">
        <v>2172</v>
      </c>
      <c r="E38" s="1390"/>
      <c r="F38" s="2464"/>
      <c r="G38" s="137"/>
      <c r="H38" s="137"/>
      <c r="I38" s="137"/>
    </row>
    <row r="39" spans="1:15" ht="15">
      <c r="A39" s="2437" t="s">
        <v>2173</v>
      </c>
      <c r="B39" s="2467" t="s">
        <v>2174</v>
      </c>
      <c r="C39" s="2468" t="s">
        <v>2175</v>
      </c>
      <c r="D39" s="2468" t="s">
        <v>2176</v>
      </c>
      <c r="E39" s="2469" t="s">
        <v>2177</v>
      </c>
      <c r="F39" s="2464"/>
      <c r="G39" s="137"/>
      <c r="H39" s="137"/>
      <c r="I39" s="137"/>
    </row>
    <row r="40" spans="1:15" ht="14.25">
      <c r="A40" s="2470" t="s">
        <v>2178</v>
      </c>
      <c r="B40" s="157"/>
      <c r="C40" s="158"/>
      <c r="D40" s="158"/>
      <c r="E40" s="159"/>
      <c r="F40" s="2464"/>
      <c r="G40" s="137"/>
      <c r="H40" s="137"/>
      <c r="I40" s="137"/>
    </row>
    <row r="41" spans="1:15" ht="14.25">
      <c r="A41" s="2470" t="s">
        <v>2179</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1" t="s">
        <v>2182</v>
      </c>
      <c r="B45" s="3162"/>
      <c r="C45" s="3163"/>
      <c r="D45" s="163" t="e">
        <f ca="1">ROUND(H101*F45,0)</f>
        <v>#N/A</v>
      </c>
      <c r="E45" s="164" t="s">
        <v>2183</v>
      </c>
      <c r="F45" s="165">
        <v>1</v>
      </c>
      <c r="G45" s="166" t="s">
        <v>2184</v>
      </c>
      <c r="H45" s="137"/>
      <c r="I45" s="137"/>
      <c r="J45" s="3080" t="s">
        <v>2185</v>
      </c>
      <c r="K45" s="3080"/>
      <c r="L45" s="3080"/>
      <c r="M45" s="3080"/>
      <c r="N45" s="3080"/>
      <c r="O45" s="3080"/>
    </row>
    <row r="46" spans="1:15" ht="14.25" customHeight="1">
      <c r="A46" s="3158" t="s">
        <v>2186</v>
      </c>
      <c r="B46" s="3159"/>
      <c r="C46" s="3159"/>
      <c r="D46" s="3159"/>
      <c r="E46" s="3159"/>
      <c r="F46" s="3159"/>
      <c r="G46" s="3160"/>
      <c r="H46" s="2480"/>
      <c r="I46" s="167"/>
      <c r="J46" s="2965">
        <v>1</v>
      </c>
      <c r="K46" s="3080" t="s">
        <v>2187</v>
      </c>
      <c r="L46" s="3080"/>
      <c r="M46" s="3081"/>
      <c r="N46" s="3081"/>
      <c r="O46" s="3081"/>
    </row>
    <row r="47" spans="1:15" ht="12" customHeight="1">
      <c r="A47" s="168" t="s">
        <v>2188</v>
      </c>
      <c r="B47" s="169"/>
      <c r="C47" s="170"/>
      <c r="D47" s="171" t="s">
        <v>2189</v>
      </c>
      <c r="E47" s="23" t="s">
        <v>2190</v>
      </c>
      <c r="F47" s="172" t="s">
        <v>2191</v>
      </c>
      <c r="G47" s="173" t="s">
        <v>2192</v>
      </c>
      <c r="H47" s="2480"/>
      <c r="I47" s="167"/>
      <c r="J47" s="2965">
        <v>2</v>
      </c>
      <c r="K47" s="3080" t="s">
        <v>2193</v>
      </c>
      <c r="L47" s="3080"/>
      <c r="M47" s="3082">
        <f>'数据-取费表'!B2</f>
        <v>43656</v>
      </c>
      <c r="N47" s="3082"/>
      <c r="O47" s="3082"/>
    </row>
    <row r="48" spans="1:15" ht="25.5">
      <c r="A48" s="3148" t="s">
        <v>2194</v>
      </c>
      <c r="B48" s="3149"/>
      <c r="C48" s="3149"/>
      <c r="D48" s="139">
        <f>IF(H48="情况1",0,IF(H48="情况2",D52,IF(H48="情况3",D53,IF(H48="情况4",D54))))</f>
        <v>0</v>
      </c>
      <c r="E48" s="2957" t="str">
        <f>IF(H48="情况4","(销售额-原购置价)×税（费）率","销售额×税（费）率")</f>
        <v>销售额×税（费）率</v>
      </c>
      <c r="F48" s="174" t="str">
        <f>IF(H48="情况1","免征",'数据-取费表'!B41)</f>
        <v>免征</v>
      </c>
      <c r="G48" s="2481" t="s">
        <v>2195</v>
      </c>
      <c r="H48" s="2482" t="s">
        <v>2196</v>
      </c>
      <c r="I48" s="2480"/>
      <c r="J48" s="2965">
        <v>3</v>
      </c>
      <c r="K48" s="3080" t="s">
        <v>2197</v>
      </c>
      <c r="L48" s="3080"/>
      <c r="M48" s="3083" t="e">
        <f ca="1">H101</f>
        <v>#N/A</v>
      </c>
      <c r="N48" s="3083"/>
      <c r="O48" s="3083"/>
    </row>
    <row r="49" spans="1:35" ht="25.5" customHeight="1">
      <c r="A49" s="175" t="s">
        <v>2198</v>
      </c>
      <c r="B49" s="3128" t="s">
        <v>2199</v>
      </c>
      <c r="C49" s="3128"/>
      <c r="D49" s="176">
        <v>0</v>
      </c>
      <c r="E49" s="22" t="s">
        <v>2200</v>
      </c>
      <c r="F49" s="27" t="s">
        <v>34</v>
      </c>
      <c r="G49" s="3109"/>
      <c r="H49" s="137"/>
      <c r="I49" s="2483"/>
      <c r="J49" s="2965">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customHeight="1">
      <c r="A50" s="177"/>
      <c r="B50" s="3128" t="s">
        <v>2201</v>
      </c>
      <c r="C50" s="3128"/>
      <c r="D50" s="178"/>
      <c r="E50" s="30"/>
      <c r="F50" s="179"/>
      <c r="G50" s="3110"/>
      <c r="H50" s="137"/>
      <c r="I50" s="2483"/>
      <c r="J50" s="3080" t="s">
        <v>2202</v>
      </c>
      <c r="K50" s="3080"/>
      <c r="L50" s="3080"/>
      <c r="M50" s="3080"/>
      <c r="N50" s="3080"/>
      <c r="O50" s="3080"/>
    </row>
    <row r="51" spans="1:35" ht="12" customHeight="1">
      <c r="A51" s="180"/>
      <c r="B51" s="3128" t="s">
        <v>2203</v>
      </c>
      <c r="C51" s="3128"/>
      <c r="D51" s="181"/>
      <c r="E51" s="29"/>
      <c r="F51" s="179"/>
      <c r="G51" s="3111"/>
      <c r="H51" s="137"/>
      <c r="I51" s="2483"/>
      <c r="J51" s="2964" t="s">
        <v>2204</v>
      </c>
      <c r="K51" s="3080" t="s">
        <v>2205</v>
      </c>
      <c r="L51" s="3080"/>
      <c r="M51" s="2964" t="s">
        <v>2206</v>
      </c>
      <c r="N51" s="2964" t="s">
        <v>2207</v>
      </c>
      <c r="O51" s="2964" t="s">
        <v>2208</v>
      </c>
    </row>
    <row r="52" spans="1:35" ht="24" customHeight="1">
      <c r="A52" s="182" t="s">
        <v>2209</v>
      </c>
      <c r="B52" s="3128" t="s">
        <v>2210</v>
      </c>
      <c r="C52" s="3128"/>
      <c r="D52" s="181" t="e">
        <f ca="1">ROUND(D45*'数据-取费表'!B41/(1+'数据-取费表'!C42),0)</f>
        <v>#N/A</v>
      </c>
      <c r="E52" s="11" t="s">
        <v>2211</v>
      </c>
      <c r="F52" s="183">
        <f>'数据-取费表'!B41</f>
        <v>5.6000000000000001E-2</v>
      </c>
      <c r="G52" s="2485"/>
      <c r="H52" s="137"/>
      <c r="I52" s="2483"/>
      <c r="J52" s="2965">
        <v>1</v>
      </c>
      <c r="K52" s="3103" t="s">
        <v>2212</v>
      </c>
      <c r="L52" s="3103"/>
      <c r="M52" s="1749">
        <f>D48</f>
        <v>0</v>
      </c>
      <c r="N52" s="2965" t="str">
        <f>E48</f>
        <v>销售额×税（费）率</v>
      </c>
      <c r="O52" s="1750" t="str">
        <f>F48</f>
        <v>免征</v>
      </c>
    </row>
    <row r="53" spans="1:35" ht="12" customHeight="1">
      <c r="A53" s="182" t="s">
        <v>2213</v>
      </c>
      <c r="B53" s="3129" t="s">
        <v>2214</v>
      </c>
      <c r="C53" s="3130"/>
      <c r="D53" s="181" t="e">
        <f ca="1">ROUND(D45*'数据-取费表'!B41/(1+'数据-取费表'!C42),0)</f>
        <v>#N/A</v>
      </c>
      <c r="E53" s="11" t="s">
        <v>2211</v>
      </c>
      <c r="F53" s="183">
        <f>'数据-取费表'!B41</f>
        <v>5.6000000000000001E-2</v>
      </c>
      <c r="G53" s="2485"/>
      <c r="H53" s="137"/>
      <c r="I53" s="2483"/>
      <c r="J53" s="2965">
        <v>2</v>
      </c>
      <c r="K53" s="3103" t="s">
        <v>2215</v>
      </c>
      <c r="L53" s="3103"/>
      <c r="M53" s="1749" t="e">
        <f t="shared" ref="M53:O54" ca="1" si="0">D55</f>
        <v>#N/A</v>
      </c>
      <c r="N53" s="2965" t="str">
        <f t="shared" si="0"/>
        <v>销售额×税（费）率</v>
      </c>
      <c r="O53" s="1750">
        <f t="shared" si="0"/>
        <v>5.0000000000000001E-4</v>
      </c>
    </row>
    <row r="54" spans="1:35" ht="12" customHeight="1">
      <c r="A54" s="182" t="s">
        <v>2216</v>
      </c>
      <c r="B54" s="3129" t="s">
        <v>2217</v>
      </c>
      <c r="C54" s="3130"/>
      <c r="D54" s="181" t="e">
        <f ca="1">C68</f>
        <v>#N/A</v>
      </c>
      <c r="E54" s="29" t="s">
        <v>2218</v>
      </c>
      <c r="F54" s="183">
        <f>'数据-取费表'!B41</f>
        <v>5.6000000000000001E-2</v>
      </c>
      <c r="G54" s="2485"/>
      <c r="H54" s="2486"/>
      <c r="I54" s="2483"/>
      <c r="J54" s="2965">
        <v>3</v>
      </c>
      <c r="K54" s="3103" t="s">
        <v>2219</v>
      </c>
      <c r="L54" s="3103"/>
      <c r="M54" s="1749" t="e">
        <f t="shared" ca="1" si="0"/>
        <v>#N/A</v>
      </c>
      <c r="N54" s="2965" t="str">
        <f t="shared" si="0"/>
        <v>增值额×税（费）率</v>
      </c>
      <c r="O54" s="1751" t="str">
        <f t="shared" si="0"/>
        <v>——</v>
      </c>
    </row>
    <row r="55" spans="1:35" ht="24" customHeight="1">
      <c r="A55" s="3167" t="s">
        <v>2220</v>
      </c>
      <c r="B55" s="3149"/>
      <c r="C55" s="3149"/>
      <c r="D55" s="184" t="e">
        <f ca="1">IF(H55="个人住宅",0,ROUND(D45*I55,0))</f>
        <v>#N/A</v>
      </c>
      <c r="E55" s="11" t="s">
        <v>2221</v>
      </c>
      <c r="F55" s="183">
        <f>IF(H55="正常",I55,"免征")</f>
        <v>5.0000000000000001E-4</v>
      </c>
      <c r="G55" s="2485"/>
      <c r="H55" s="2482" t="s">
        <v>2222</v>
      </c>
      <c r="I55" s="185">
        <f>'数据-取费表'!B49</f>
        <v>5.0000000000000001E-4</v>
      </c>
      <c r="J55" s="2965" t="str">
        <f>IF(H59="非个人房产","",4)</f>
        <v/>
      </c>
      <c r="K55" s="3103" t="str">
        <f>IF(H59="非个人房产","——","个人所得税")</f>
        <v>——</v>
      </c>
      <c r="L55" s="3103"/>
      <c r="M55" s="1752" t="str">
        <f>D59</f>
        <v>——</v>
      </c>
      <c r="N55" s="2966" t="str">
        <f>E59</f>
        <v>——</v>
      </c>
      <c r="O55" s="1753" t="str">
        <f>F59</f>
        <v>——</v>
      </c>
    </row>
    <row r="56" spans="1:35" ht="24.75">
      <c r="A56" s="3167" t="s">
        <v>2223</v>
      </c>
      <c r="B56" s="3149"/>
      <c r="C56" s="3149"/>
      <c r="D56" s="184" t="e">
        <f ca="1">IF(H56="个人住宅",D57,D58)</f>
        <v>#N/A</v>
      </c>
      <c r="E56" s="11" t="s">
        <v>2224</v>
      </c>
      <c r="F56" s="183" t="str">
        <f>IF(H56="正常",F58,"免征")</f>
        <v>——</v>
      </c>
      <c r="G56" s="2487" t="s">
        <v>2225</v>
      </c>
      <c r="H56" s="2488" t="s">
        <v>2222</v>
      </c>
      <c r="I56" s="2489"/>
      <c r="J56" s="2965" t="str">
        <f>IF(项目基本情况!K6="上海银行",IF(J55="",4,J55+1),"")</f>
        <v/>
      </c>
      <c r="K56" s="3086" t="str">
        <f>IF(项目基本情况!K6="上海银行","其他处置费用","")</f>
        <v/>
      </c>
      <c r="L56" s="3087"/>
      <c r="M56" s="1749" t="str">
        <f>IF(项目基本情况!K6="上海银行",M69,"")</f>
        <v/>
      </c>
      <c r="N56" s="3089" t="str">
        <f>IF(项目基本情况!K6="上海银行","包含处置中涉及的律师、诉讼、拍卖、评估等费用","")</f>
        <v/>
      </c>
      <c r="O56" s="3090"/>
    </row>
    <row r="57" spans="1:35" ht="12.75">
      <c r="A57" s="182" t="s">
        <v>2198</v>
      </c>
      <c r="B57" s="3134" t="s">
        <v>2226</v>
      </c>
      <c r="C57" s="3135"/>
      <c r="D57" s="186">
        <v>0</v>
      </c>
      <c r="E57" s="22" t="s">
        <v>2200</v>
      </c>
      <c r="F57" s="154"/>
      <c r="G57" s="2485"/>
      <c r="H57" s="2489"/>
      <c r="I57" s="2489"/>
      <c r="J57" s="3103">
        <f>IF(AND(J55="",J56=""),4,IF(项目基本情况!K6="上海银行",'结果表-住宅'!J56+1,'结果表-住宅'!J55+1))</f>
        <v>4</v>
      </c>
      <c r="K57" s="3103" t="s">
        <v>2227</v>
      </c>
      <c r="L57" s="2490" t="s">
        <v>2228</v>
      </c>
      <c r="M57" s="1754"/>
      <c r="N57" s="1755">
        <f ca="1">SUMIF(M52:M56,"&lt;9e307")</f>
        <v>0</v>
      </c>
      <c r="O57" s="2491"/>
      <c r="P57" s="1748" t="e">
        <f ca="1">N57/M49</f>
        <v>#VALUE!</v>
      </c>
    </row>
    <row r="58" spans="1:35" ht="24.75">
      <c r="A58" s="182" t="s">
        <v>2209</v>
      </c>
      <c r="B58" s="3134" t="s">
        <v>2229</v>
      </c>
      <c r="C58" s="3147"/>
      <c r="D58" s="184" t="e">
        <f ca="1">IF(H58="转让取得",C81,C97)</f>
        <v>#N/A</v>
      </c>
      <c r="E58" s="11" t="s">
        <v>2224</v>
      </c>
      <c r="F58" s="23" t="s">
        <v>34</v>
      </c>
      <c r="G58" s="2485"/>
      <c r="H58" s="2488" t="s">
        <v>2230</v>
      </c>
      <c r="I58" s="2489"/>
      <c r="J58" s="3103"/>
      <c r="K58" s="3103"/>
      <c r="L58" s="2490" t="s">
        <v>2231</v>
      </c>
      <c r="M58" s="1756"/>
      <c r="N58" s="2492" t="str">
        <f ca="1">NUMBERSTRING(INT(N57*10000),2)&amp;"元整"</f>
        <v>零元整</v>
      </c>
      <c r="O58" s="2493"/>
    </row>
    <row r="59" spans="1:35" ht="24.75" thickBot="1">
      <c r="A59" s="3107" t="s">
        <v>2232</v>
      </c>
      <c r="B59" s="3108"/>
      <c r="C59" s="3108"/>
      <c r="D59" s="187" t="str">
        <f>IF(H59="非个人房产","——",IF(H59="个人住宅",0,ROUND(D45*I59,0)))</f>
        <v>——</v>
      </c>
      <c r="E59" s="188" t="str">
        <f>IF(H59="非个人房产","——","销售额×税（费）率")</f>
        <v>——</v>
      </c>
      <c r="F59" s="189" t="str">
        <f>IF(H59="非个人房产","——",IF(H59="个人住宅","免征",I59))</f>
        <v>——</v>
      </c>
      <c r="G59" s="2494" t="s">
        <v>2225</v>
      </c>
      <c r="H59" s="2488" t="s">
        <v>2233</v>
      </c>
      <c r="I59" s="190">
        <v>0.01</v>
      </c>
      <c r="J59" s="3105">
        <f>J57+1</f>
        <v>5</v>
      </c>
      <c r="K59" s="3103" t="s">
        <v>2234</v>
      </c>
      <c r="L59" s="2965" t="s">
        <v>2228</v>
      </c>
      <c r="M59" s="1757"/>
      <c r="N59" s="1758" t="e">
        <f ca="1">M49-N57</f>
        <v>#VALUE!</v>
      </c>
      <c r="O59" s="2495"/>
    </row>
    <row r="60" spans="1:35" ht="12" customHeight="1">
      <c r="A60" s="2496"/>
      <c r="B60" s="2418"/>
      <c r="C60" s="2418"/>
      <c r="D60" s="2418"/>
      <c r="E60" s="2165"/>
      <c r="F60" s="2489"/>
      <c r="G60" s="2489"/>
      <c r="H60" s="2497"/>
      <c r="I60" s="137"/>
      <c r="J60" s="3106"/>
      <c r="K60" s="3103"/>
      <c r="L60" s="2490" t="s">
        <v>2231</v>
      </c>
      <c r="M60" s="1756"/>
      <c r="N60" s="2492" t="e">
        <f ca="1">NUMBERSTRING(INT(N59*10000),2)&amp;"元整"</f>
        <v>#VALUE!</v>
      </c>
      <c r="O60" s="2493"/>
    </row>
    <row r="61" spans="1:35" ht="13.5" thickBot="1">
      <c r="A61" s="3166" t="s">
        <v>2235</v>
      </c>
      <c r="B61" s="3166"/>
      <c r="C61" s="3166"/>
      <c r="D61" s="3166"/>
      <c r="E61" s="3166"/>
      <c r="F61" s="2489"/>
      <c r="G61" s="2489"/>
      <c r="H61" s="2497"/>
      <c r="I61" s="137"/>
      <c r="J61" s="2965">
        <f>J59+1</f>
        <v>6</v>
      </c>
      <c r="K61" s="3103" t="s">
        <v>2236</v>
      </c>
      <c r="L61" s="3103"/>
      <c r="M61" s="1759"/>
      <c r="N61" s="1760" t="e">
        <f ca="1">ROUND(N59*10000/'数据-汇总表'!E3,0)</f>
        <v>#VALUE!</v>
      </c>
      <c r="O61" s="2498"/>
    </row>
    <row r="62" spans="1:35" ht="12.75">
      <c r="A62" s="3123" t="s">
        <v>2237</v>
      </c>
      <c r="B62" s="3124"/>
      <c r="C62" s="2960"/>
      <c r="D62" s="2960" t="s">
        <v>2238</v>
      </c>
      <c r="E62" s="191" t="s">
        <v>2239</v>
      </c>
      <c r="F62" s="2489"/>
      <c r="G62" s="2489"/>
      <c r="H62" s="2497"/>
      <c r="I62" s="137"/>
    </row>
    <row r="63" spans="1:35" ht="12.75">
      <c r="A63" s="202" t="s">
        <v>775</v>
      </c>
      <c r="B63" s="192" t="s">
        <v>2240</v>
      </c>
      <c r="C63" s="193" t="e">
        <f ca="1">ROUND((C64+C65)/(1+'数据-取费表'!C42),0)</f>
        <v>#N/A</v>
      </c>
      <c r="D63" s="194"/>
      <c r="E63" s="195"/>
      <c r="F63" s="2489"/>
      <c r="G63" s="2489"/>
      <c r="H63" s="2497"/>
      <c r="I63" s="137"/>
      <c r="J63" s="3088" t="s">
        <v>2241</v>
      </c>
      <c r="K63" s="2969" t="s">
        <v>2242</v>
      </c>
      <c r="L63" s="1747" t="e">
        <f>IF(M49&gt;10000,M49*0.5%,IF(AND(M49&gt;1000,M49&lt;=10000),M49*1%,IF(AND(M49&gt;100,M49&lt;=1000),M49*3%,IF(AND(M49&gt;10,M49&lt;=100),M49*5%,M49*8%))))</f>
        <v>#VALUE!</v>
      </c>
      <c r="M63" s="23" t="e">
        <f>ROUND(L63,1)</f>
        <v>#VALUE!</v>
      </c>
      <c r="Z63" s="2423"/>
      <c r="AI63" s="2424"/>
    </row>
    <row r="64" spans="1:35" ht="14.25" customHeight="1">
      <c r="A64" s="196" t="s">
        <v>770</v>
      </c>
      <c r="B64" s="197" t="s">
        <v>2243</v>
      </c>
      <c r="C64" s="198" t="e">
        <f ca="1">D45</f>
        <v>#N/A</v>
      </c>
      <c r="D64" s="199" t="s">
        <v>32</v>
      </c>
      <c r="E64" s="200"/>
      <c r="F64" s="2489"/>
      <c r="G64" s="2489"/>
      <c r="H64" s="2497"/>
      <c r="I64" s="137"/>
      <c r="J64" s="3088"/>
      <c r="K64" s="2969" t="s">
        <v>2244</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2245</v>
      </c>
      <c r="Z64" s="2423"/>
      <c r="AI64" s="2424"/>
    </row>
    <row r="65" spans="1:35" ht="14.25" customHeight="1">
      <c r="A65" s="196" t="s">
        <v>771</v>
      </c>
      <c r="B65" s="197" t="s">
        <v>2246</v>
      </c>
      <c r="C65" s="201"/>
      <c r="D65" s="199"/>
      <c r="E65" s="200"/>
      <c r="F65" s="2489"/>
      <c r="G65" s="2489"/>
      <c r="H65" s="2497"/>
      <c r="I65" s="137"/>
      <c r="J65" s="3088"/>
      <c r="K65" s="2969" t="s">
        <v>2247</v>
      </c>
      <c r="L65" s="1747" t="e">
        <f>IF(M49&gt;1000,M49*0.1%,IF(AND(M49&gt;500,M49&lt;=1000),M49*0.5%,IF(AND(M49&gt;50,M49&lt;=500),M49*1%,IF(AND(M49&gt;1,M49&lt;=50),M49*1.5%))))</f>
        <v>#VALUE!</v>
      </c>
      <c r="M65" s="23" t="e">
        <f t="shared" si="1"/>
        <v>#VALUE!</v>
      </c>
      <c r="N65" s="137" t="s">
        <v>2245</v>
      </c>
      <c r="Z65" s="2423"/>
      <c r="AI65" s="2424"/>
    </row>
    <row r="66" spans="1:35" ht="14.25" customHeight="1">
      <c r="A66" s="202" t="s">
        <v>772</v>
      </c>
      <c r="B66" s="203" t="s">
        <v>2248</v>
      </c>
      <c r="C66" s="204"/>
      <c r="D66" s="205" t="s">
        <v>32</v>
      </c>
      <c r="E66" s="1771" t="s">
        <v>1367</v>
      </c>
      <c r="F66" s="2489"/>
      <c r="G66" s="2489"/>
      <c r="H66" s="2497"/>
      <c r="I66" s="137"/>
      <c r="J66" s="3088"/>
      <c r="K66" s="2969" t="s">
        <v>2249</v>
      </c>
      <c r="L66" s="1747" t="e">
        <f>M49*0.5%</f>
        <v>#VALUE!</v>
      </c>
      <c r="M66" s="23" t="e">
        <f>IF(L66&gt;0.5,0.5,ROUND(L66,0))</f>
        <v>#VALUE!</v>
      </c>
      <c r="N66" s="137" t="s">
        <v>2250</v>
      </c>
      <c r="Z66" s="2423"/>
      <c r="AI66" s="2424"/>
    </row>
    <row r="67" spans="1:35" ht="14.25" customHeight="1">
      <c r="A67" s="202" t="s">
        <v>773</v>
      </c>
      <c r="B67" s="203" t="s">
        <v>2251</v>
      </c>
      <c r="C67" s="206" t="e">
        <f ca="1">C63-C66</f>
        <v>#N/A</v>
      </c>
      <c r="D67" s="199" t="s">
        <v>32</v>
      </c>
      <c r="E67" s="200"/>
      <c r="F67" s="2489"/>
      <c r="G67" s="2489"/>
      <c r="H67" s="2497"/>
      <c r="I67" s="137"/>
      <c r="J67" s="3088"/>
      <c r="K67" s="2969"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customHeight="1" thickBot="1">
      <c r="A68" s="207" t="s">
        <v>774</v>
      </c>
      <c r="B68" s="208" t="s">
        <v>2253</v>
      </c>
      <c r="C68" s="209" t="e">
        <f ca="1">IF(C67&lt;=0,0,ROUND(C67*D68,0))</f>
        <v>#N/A</v>
      </c>
      <c r="D68" s="210">
        <f>'数据-取费表'!B41</f>
        <v>5.6000000000000001E-2</v>
      </c>
      <c r="E68" s="211"/>
      <c r="F68" s="2489"/>
      <c r="G68" s="2489"/>
      <c r="H68" s="2497"/>
      <c r="I68" s="137"/>
      <c r="J68" s="3088"/>
      <c r="K68" s="2969" t="s">
        <v>2254</v>
      </c>
      <c r="L68" s="1747" t="e">
        <f>IF(M49&gt;10000,M49*0.5%,IF(AND(M49&gt;5000,M49&lt;=10000),M49*1%,IF(AND(M49&gt;1000,M49&lt;=5000),M49*2%,IF(AND(M49&gt;200,M49&lt;=1000),M49*3%,M49*5%))))</f>
        <v>#VALUE!</v>
      </c>
      <c r="M68" s="23" t="e">
        <f>ROUND(L68,1)</f>
        <v>#VALUE!</v>
      </c>
      <c r="Z68" s="2423"/>
      <c r="AI68" s="2424"/>
    </row>
    <row r="69" spans="1:35" s="2446" customFormat="1" ht="16.5" customHeight="1">
      <c r="A69" s="2500"/>
      <c r="B69" s="2501"/>
      <c r="C69" s="2502"/>
      <c r="D69" s="2503"/>
      <c r="E69" s="2504"/>
      <c r="F69" s="2165"/>
      <c r="G69" s="2165"/>
      <c r="H69" s="2164"/>
      <c r="I69" s="2418"/>
      <c r="J69" s="3088"/>
      <c r="K69" s="2969" t="s">
        <v>2255</v>
      </c>
      <c r="L69" s="2505"/>
      <c r="M69" s="23" t="e">
        <f>ROUND(SUM(M63:M68),0)</f>
        <v>#VALUE!</v>
      </c>
      <c r="N69" s="1748"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32" t="s">
        <v>2256</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3" t="s">
        <v>2237</v>
      </c>
      <c r="B71" s="3124"/>
      <c r="C71" s="2960"/>
      <c r="D71" s="2960" t="s">
        <v>2238</v>
      </c>
      <c r="E71" s="212" t="s">
        <v>2239</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2257</v>
      </c>
      <c r="C72" s="206" t="e">
        <f ca="1">ROUND(D45/(1+'数据-取费表'!C42),0)</f>
        <v>#N/A</v>
      </c>
      <c r="D72" s="199" t="s">
        <v>32</v>
      </c>
      <c r="E72" s="2959"/>
      <c r="F72" s="2954"/>
      <c r="G72" s="295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2258</v>
      </c>
      <c r="C73" s="206" t="e">
        <f ca="1">C74+C78</f>
        <v>#N/A</v>
      </c>
      <c r="D73" s="199" t="s">
        <v>32</v>
      </c>
      <c r="E73" s="2959"/>
      <c r="F73" s="2954"/>
      <c r="G73" s="295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2259</v>
      </c>
      <c r="C74" s="199">
        <f>ROUND(IF(G77="2016年5月1日后购买",C75/(1+'数据-取费表'!C42)+C76+C77,C75+C76+C77),0)</f>
        <v>0</v>
      </c>
      <c r="D74" s="199" t="s">
        <v>32</v>
      </c>
      <c r="E74" s="2959"/>
      <c r="F74" s="2954"/>
      <c r="G74" s="295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2260</v>
      </c>
      <c r="C75" s="217"/>
      <c r="D75" s="199" t="s">
        <v>32</v>
      </c>
      <c r="E75" s="218" t="s">
        <v>2261</v>
      </c>
      <c r="F75" s="2511" t="s">
        <v>2262</v>
      </c>
      <c r="G75" s="218" t="s">
        <v>2263</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2264</v>
      </c>
      <c r="C76" s="199">
        <f>IF(F75="购房发票",ROUND(C75*H75*D76,0),0)</f>
        <v>0</v>
      </c>
      <c r="D76" s="221">
        <v>0.05</v>
      </c>
      <c r="E76" s="3129" t="s">
        <v>2265</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2266</v>
      </c>
      <c r="C77" s="199">
        <f>ROUND(IF(G77="个人住宅",0,IF(G77="2016年5月1日前购买",C75*D77,C75*D77/(1+'数据-取费表'!C42))),0)</f>
        <v>0</v>
      </c>
      <c r="D77" s="222">
        <f>'数据-取费表'!B48+'数据-取费表'!B49</f>
        <v>3.0499999999999999E-2</v>
      </c>
      <c r="E77" s="2970" t="s">
        <v>2267</v>
      </c>
      <c r="F77" s="223"/>
      <c r="G77" s="2513" t="s">
        <v>2268</v>
      </c>
      <c r="H77" s="296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2269</v>
      </c>
      <c r="C78" s="224" t="e">
        <f ca="1">ROUND(D45*D78/(1+'数据-取费表'!C42),0)</f>
        <v>#N/A</v>
      </c>
      <c r="D78" s="225">
        <f>'数据-取费表'!B43</f>
        <v>6.000000000000001E-3</v>
      </c>
      <c r="E78" s="3120" t="s">
        <v>2270</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2271</v>
      </c>
      <c r="C79" s="206" t="e">
        <f ca="1">C72-C73</f>
        <v>#N/A</v>
      </c>
      <c r="D79" s="199" t="s">
        <v>32</v>
      </c>
      <c r="E79" s="2959"/>
      <c r="F79" s="2954"/>
      <c r="G79" s="295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2272</v>
      </c>
      <c r="C80" s="226" t="e">
        <f ca="1">IF(C79&lt;=0,0,C79/C73)</f>
        <v>#N/A</v>
      </c>
      <c r="D80" s="199" t="s">
        <v>32</v>
      </c>
      <c r="E80" s="2970" t="e">
        <f ca="1">IF(C80&gt;=200%,"增值额超过扣除项目金额200%",IF(C80&gt;=100%,"增值额超过扣除项目金额100%，未超过200%",IF(C80&gt;=50%,"增值额超过扣除项目金额50%，未超过100%",IF(C80&lt;50%,"增值额未超过扣除项目金额50%"))))</f>
        <v>#N/A</v>
      </c>
      <c r="F80" s="2954"/>
      <c r="G80" s="295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2273</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2" t="s">
        <v>2274</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3" t="s">
        <v>2237</v>
      </c>
      <c r="B84" s="3124"/>
      <c r="C84" s="2960"/>
      <c r="D84" s="2960" t="s">
        <v>2238</v>
      </c>
      <c r="E84" s="212" t="s">
        <v>2239</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2257</v>
      </c>
      <c r="C85" s="206" t="e">
        <f ca="1">ROUND(D45/(1+'数据-取费表'!C42),0)</f>
        <v>#N/A</v>
      </c>
      <c r="D85" s="199" t="s">
        <v>32</v>
      </c>
      <c r="E85" s="2959"/>
      <c r="F85" s="2954"/>
      <c r="G85" s="295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2258</v>
      </c>
      <c r="C86" s="206" t="e">
        <f ca="1">IF(H88="仅含出让金",C87+C90+C91+C92+C93+C94,C87+C91+C92+C93+C94)</f>
        <v>#N/A</v>
      </c>
      <c r="D86" s="234"/>
      <c r="E86" s="2959"/>
      <c r="F86" s="2954"/>
      <c r="G86" s="295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2275</v>
      </c>
      <c r="C87" s="224">
        <f>C88+C89</f>
        <v>0</v>
      </c>
      <c r="D87" s="225"/>
      <c r="E87" s="2955"/>
      <c r="F87" s="2956"/>
      <c r="G87" s="2956"/>
      <c r="H87" s="295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2276</v>
      </c>
      <c r="C88" s="235"/>
      <c r="D88" s="225"/>
      <c r="E88" s="236" t="s">
        <v>2277</v>
      </c>
      <c r="F88" s="2956"/>
      <c r="G88" s="237"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2266</v>
      </c>
      <c r="C89" s="224">
        <f>ROUND(C88*D89,0)</f>
        <v>0</v>
      </c>
      <c r="D89" s="225">
        <f>'数据-取费表'!B48+'数据-取费表'!B49</f>
        <v>3.0499999999999999E-2</v>
      </c>
      <c r="E89" s="236" t="s">
        <v>2279</v>
      </c>
      <c r="F89" s="2956"/>
      <c r="G89" s="2956"/>
      <c r="H89" s="295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2280</v>
      </c>
      <c r="C90" s="235"/>
      <c r="D90" s="225"/>
      <c r="E90" s="236" t="str">
        <f>IF(H88="-","土地取得成本中已包含该笔费用"," ")</f>
        <v xml:space="preserve"> </v>
      </c>
      <c r="F90" s="2956"/>
      <c r="G90" s="2956"/>
      <c r="H90" s="295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2281</v>
      </c>
      <c r="B91" s="197" t="s">
        <v>2282</v>
      </c>
      <c r="C91" s="224">
        <f>IF(H91="——",成本法!C33,I91)</f>
        <v>0</v>
      </c>
      <c r="D91" s="225"/>
      <c r="E91" s="3120" t="s">
        <v>2283</v>
      </c>
      <c r="F91" s="3121"/>
      <c r="G91" s="312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2285</v>
      </c>
      <c r="B92" s="197" t="s">
        <v>2286</v>
      </c>
      <c r="C92" s="224">
        <f>ROUND((C87+C90+C91)*D92,0)</f>
        <v>0</v>
      </c>
      <c r="D92" s="225">
        <v>0.1</v>
      </c>
      <c r="E92" s="3120" t="s">
        <v>2287</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2288</v>
      </c>
      <c r="B93" s="197" t="s">
        <v>2269</v>
      </c>
      <c r="C93" s="224" t="e">
        <f ca="1">ROUND(D45*D93/(1+'数据-取费表'!C42),0)</f>
        <v>#N/A</v>
      </c>
      <c r="D93" s="225">
        <f>'数据-取费表'!B43</f>
        <v>6.000000000000001E-3</v>
      </c>
      <c r="E93" s="3120" t="s">
        <v>2270</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2289</v>
      </c>
      <c r="B94" s="197" t="s">
        <v>2290</v>
      </c>
      <c r="C94" s="235">
        <f>ROUND((C87+C90+C91)*D94,0)</f>
        <v>0</v>
      </c>
      <c r="D94" s="225">
        <v>0.2</v>
      </c>
      <c r="E94" s="3168" t="s">
        <v>2291</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2271</v>
      </c>
      <c r="C95" s="206" t="e">
        <f ca="1">ROUND(C85-C86,0)</f>
        <v>#N/A</v>
      </c>
      <c r="D95" s="199" t="s">
        <v>32</v>
      </c>
      <c r="E95" s="2959"/>
      <c r="F95" s="2954"/>
      <c r="G95" s="295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2272</v>
      </c>
      <c r="C96" s="226" t="e">
        <f ca="1">IF(C95&lt;=0,0,C95/C86)</f>
        <v>#N/A</v>
      </c>
      <c r="D96" s="199" t="s">
        <v>32</v>
      </c>
      <c r="E96" s="2970" t="e">
        <f ca="1">IF(C96&gt;=200%,"增值额超过扣除项目金额200%",IF(C96&gt;=100%,"增值额超过扣除项目金额100%，未超过200%",IF(C96&gt;=50%,"增值额超过扣除项目金额50%，未超过100%",IF(C96&lt;50%,"增值额未超过扣除项目金额50%"))))</f>
        <v>#N/A</v>
      </c>
      <c r="F96" s="2954"/>
      <c r="G96" s="295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2273</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2292</v>
      </c>
      <c r="B99" s="2418"/>
      <c r="C99" s="2418"/>
      <c r="D99" s="2418"/>
      <c r="E99" s="2165"/>
      <c r="F99" s="2165"/>
      <c r="G99" s="2165"/>
      <c r="H99" s="2164"/>
      <c r="I99" s="137"/>
    </row>
    <row r="100" spans="1:35" ht="18.75" customHeight="1">
      <c r="A100" s="3072" t="s">
        <v>2293</v>
      </c>
      <c r="B100" s="3073"/>
      <c r="C100" s="3073"/>
      <c r="D100" s="3104"/>
      <c r="E100" s="3073" t="s">
        <v>2294</v>
      </c>
      <c r="F100" s="3073"/>
      <c r="G100" s="3073"/>
      <c r="H100" s="3104"/>
      <c r="I100" s="137"/>
    </row>
    <row r="101" spans="1:35" ht="18.75" customHeight="1">
      <c r="A101" s="3112" t="s">
        <v>2295</v>
      </c>
      <c r="B101" s="3113"/>
      <c r="C101" s="734" t="str">
        <f>C4</f>
        <v>比较法-住宅</v>
      </c>
      <c r="D101" s="735" t="str">
        <f>D4</f>
        <v>收益法-住宅</v>
      </c>
      <c r="E101" s="3084" t="s">
        <v>2296</v>
      </c>
      <c r="F101" s="3085"/>
      <c r="G101" s="2520" t="s">
        <v>2297</v>
      </c>
      <c r="H101" s="1043" t="e">
        <f ca="1">H118</f>
        <v>#N/A</v>
      </c>
      <c r="I101" s="137"/>
    </row>
    <row r="102" spans="1:35" ht="18.75" customHeight="1">
      <c r="A102" s="3114" t="s">
        <v>2298</v>
      </c>
      <c r="B102" s="2520" t="s">
        <v>2297</v>
      </c>
      <c r="C102" s="734" t="e">
        <f ca="1">C19</f>
        <v>#N/A</v>
      </c>
      <c r="D102" s="735" t="e">
        <f ca="1">D19</f>
        <v>#N/A</v>
      </c>
      <c r="E102" s="3084"/>
      <c r="F102" s="3085"/>
      <c r="G102" s="2520" t="s">
        <v>2299</v>
      </c>
      <c r="H102" s="370" t="e">
        <f ca="1">I118</f>
        <v>#N/A</v>
      </c>
      <c r="I102" s="137"/>
    </row>
    <row r="103" spans="1:35" ht="42.75" customHeight="1">
      <c r="A103" s="3114"/>
      <c r="B103" s="2520" t="s">
        <v>2299</v>
      </c>
      <c r="C103" s="736" t="e">
        <f ca="1">C20</f>
        <v>#N/A</v>
      </c>
      <c r="D103" s="737">
        <f ca="1">D20</f>
        <v>0</v>
      </c>
      <c r="E103" s="3078" t="s">
        <v>2300</v>
      </c>
      <c r="F103" s="3079"/>
      <c r="G103" s="2521" t="s">
        <v>2301</v>
      </c>
      <c r="H103" s="1043">
        <f>IF(D36="正常操作",H104+H105+H106,H105+H106)</f>
        <v>0</v>
      </c>
      <c r="I103" s="137"/>
    </row>
    <row r="104" spans="1:35" ht="18.75" customHeight="1">
      <c r="A104" s="3114" t="s">
        <v>2302</v>
      </c>
      <c r="B104" s="2522" t="s">
        <v>2297</v>
      </c>
      <c r="C104" s="738" t="e">
        <f ca="1">H118</f>
        <v>#N/A</v>
      </c>
      <c r="D104" s="739"/>
      <c r="E104" s="2266" t="s">
        <v>2303</v>
      </c>
      <c r="F104" s="2257"/>
      <c r="G104" s="2521" t="s">
        <v>2301</v>
      </c>
      <c r="H104" s="1044">
        <f>IF(D36="同一抵押权人同一抵押物续贷",C36&amp;"（未扣减，详见特别提示）",C36)</f>
        <v>0</v>
      </c>
      <c r="I104" s="137"/>
    </row>
    <row r="105" spans="1:35" ht="18.75" customHeight="1" thickBot="1">
      <c r="A105" s="3126"/>
      <c r="B105" s="2523" t="s">
        <v>2299</v>
      </c>
      <c r="C105" s="740" t="e">
        <f ca="1">I118</f>
        <v>#N/A</v>
      </c>
      <c r="D105" s="741"/>
      <c r="E105" s="2266" t="s">
        <v>2304</v>
      </c>
      <c r="F105" s="2257"/>
      <c r="G105" s="2521" t="s">
        <v>2301</v>
      </c>
      <c r="H105" s="1044">
        <f>C37</f>
        <v>0</v>
      </c>
      <c r="I105" s="137"/>
    </row>
    <row r="106" spans="1:35" ht="18.75" customHeight="1">
      <c r="A106" s="2418" t="s">
        <v>2305</v>
      </c>
      <c r="B106" s="2418"/>
      <c r="C106" s="2418"/>
      <c r="D106" s="2418"/>
      <c r="E106" s="2524" t="s">
        <v>2306</v>
      </c>
      <c r="F106" s="2257"/>
      <c r="G106" s="2521" t="s">
        <v>2301</v>
      </c>
      <c r="H106" s="1044">
        <f>C38</f>
        <v>0</v>
      </c>
      <c r="I106" s="137"/>
    </row>
    <row r="107" spans="1:35" ht="18.75" customHeight="1">
      <c r="A107" s="137"/>
      <c r="B107" s="137"/>
      <c r="C107" s="137"/>
      <c r="D107" s="137"/>
      <c r="E107" s="3115" t="str">
        <f>IF(项目基本情况!E8="已注销","——","3.房地产抵押价值")</f>
        <v>3.房地产抵押价值</v>
      </c>
      <c r="F107" s="3085"/>
      <c r="G107" s="2520" t="s">
        <v>2297</v>
      </c>
      <c r="H107" s="1043" t="e">
        <f ca="1">IF(E107="——","——",H101-H103)</f>
        <v>#N/A</v>
      </c>
      <c r="I107" s="137"/>
    </row>
    <row r="108" spans="1:35" ht="18.75" customHeight="1">
      <c r="A108" s="137"/>
      <c r="B108" s="137"/>
      <c r="C108" s="137"/>
      <c r="D108" s="137"/>
      <c r="E108" s="3115"/>
      <c r="F108" s="3085"/>
      <c r="G108" s="2520" t="s">
        <v>2299</v>
      </c>
      <c r="H108" s="370" t="e">
        <f ca="1">ROUND(H107*10000/'数据-汇总表'!E3,0)</f>
        <v>#N/A</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2297</v>
      </c>
      <c r="H109" s="347" t="str">
        <f>IF(E109="——","——",H101-H105-H106)</f>
        <v>——</v>
      </c>
      <c r="I109" s="137"/>
    </row>
    <row r="110" spans="1:35" ht="18.75" customHeight="1">
      <c r="A110" s="137"/>
      <c r="B110" s="137"/>
      <c r="C110" s="137"/>
      <c r="D110" s="137"/>
      <c r="E110" s="3115"/>
      <c r="F110" s="3085"/>
      <c r="G110" s="2520" t="s">
        <v>2299</v>
      </c>
      <c r="H110" s="370"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2297</v>
      </c>
      <c r="H111" s="1043" t="str">
        <f>IF(E111="——","——",N59)</f>
        <v>——</v>
      </c>
      <c r="I111" s="137"/>
    </row>
    <row r="112" spans="1:35" ht="18.75" customHeight="1" thickBot="1">
      <c r="A112" s="137"/>
      <c r="B112" s="137"/>
      <c r="C112" s="137"/>
      <c r="D112" s="137"/>
      <c r="E112" s="3118"/>
      <c r="F112" s="3119"/>
      <c r="G112" s="2525" t="s">
        <v>2299</v>
      </c>
      <c r="H112" s="788" t="str">
        <f>IF(E111="——","——",N61)</f>
        <v>——</v>
      </c>
      <c r="I112" s="137"/>
    </row>
    <row r="113" spans="1:11" ht="18.75" customHeight="1">
      <c r="A113" s="137"/>
      <c r="B113" s="137"/>
      <c r="C113" s="137"/>
      <c r="D113" s="137"/>
      <c r="E113" s="3127" t="s">
        <v>2305</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2307</v>
      </c>
      <c r="B115" s="3141"/>
      <c r="C115" s="3141"/>
      <c r="D115" s="3141"/>
      <c r="E115" s="3141"/>
      <c r="F115" s="3141"/>
      <c r="G115" s="3141"/>
      <c r="H115" s="3141"/>
      <c r="I115" s="3142"/>
    </row>
    <row r="116" spans="1:11" ht="27" customHeight="1">
      <c r="A116" s="3051" t="s">
        <v>2308</v>
      </c>
      <c r="B116" s="3094" t="s">
        <v>2309</v>
      </c>
      <c r="C116" s="3094" t="s">
        <v>2310</v>
      </c>
      <c r="D116" s="3100" t="s">
        <v>2311</v>
      </c>
      <c r="E116" s="3101"/>
      <c r="F116" s="3136" t="s">
        <v>2312</v>
      </c>
      <c r="G116" s="3136"/>
      <c r="H116" s="3051" t="s">
        <v>2313</v>
      </c>
      <c r="I116" s="3051"/>
    </row>
    <row r="117" spans="1:11" ht="18.75" customHeight="1">
      <c r="A117" s="3051"/>
      <c r="B117" s="3095"/>
      <c r="C117" s="3095"/>
      <c r="D117" s="2952" t="s">
        <v>2314</v>
      </c>
      <c r="E117" s="2952" t="s">
        <v>2315</v>
      </c>
      <c r="F117" s="2952" t="s">
        <v>2314</v>
      </c>
      <c r="G117" s="2952" t="s">
        <v>2316</v>
      </c>
      <c r="H117" s="2952" t="s">
        <v>2314</v>
      </c>
      <c r="I117" s="2952" t="s">
        <v>2316</v>
      </c>
    </row>
    <row r="118" spans="1:11" ht="24.75" customHeight="1">
      <c r="A118" s="2526" t="str">
        <f>项目基本情况!S2</f>
        <v>出让国有建设用地使用权及在建建筑物房地产</v>
      </c>
      <c r="B118" s="2952">
        <f>M18</f>
        <v>0</v>
      </c>
      <c r="C118" s="2952">
        <f>M19</f>
        <v>0</v>
      </c>
      <c r="D118" s="2952" t="e">
        <f ca="1">ROUND(IF(D32="总价",C34,E118*B118/10000),0)</f>
        <v>#N/A</v>
      </c>
      <c r="E118" s="2952" t="e">
        <f ca="1">ROUND(IF(C33="自定义",IF(D32="楼面单价",C34,D118*10000/B118),I118-G118),0)</f>
        <v>#N/A</v>
      </c>
      <c r="F118" s="2952" t="e">
        <f ca="1">ROUND(IF(D32="总价",C35,G118*B118/10000),0)</f>
        <v>#N/A</v>
      </c>
      <c r="G118" s="2952" t="e">
        <f ca="1">ROUND(IF(D32="楼面单价",C35,F118*10000/B118),0)</f>
        <v>#N/A</v>
      </c>
      <c r="H118" s="2952" t="e">
        <f ca="1">ROUND(IF(D32="总价",C32,I118*B118/10000),0)</f>
        <v>#N/A</v>
      </c>
      <c r="I118" s="2952" t="e">
        <f ca="1">ROUND(IF(D32="楼面单价",C32,H118*10000/B118),0)</f>
        <v>#N/A</v>
      </c>
    </row>
    <row r="119" spans="1:11" ht="18.75" customHeight="1">
      <c r="A119" s="3051" t="s">
        <v>2317</v>
      </c>
      <c r="B119" s="3051"/>
      <c r="C119" s="3051"/>
      <c r="D119" s="3096" t="e">
        <f ca="1">NUMBERSTRING(INT(D118*10000),2)&amp;"元整"</f>
        <v>#N/A</v>
      </c>
      <c r="E119" s="3097"/>
      <c r="F119" s="3096" t="e">
        <f ca="1">NUMBERSTRING(INT(F118*10000),2)&amp;"元整"</f>
        <v>#N/A</v>
      </c>
      <c r="G119" s="3097"/>
      <c r="H119" s="3096" t="e">
        <f ca="1">NUMBERSTRING(INT(H118*10000),2)&amp;"元整"</f>
        <v>#N/A</v>
      </c>
      <c r="I119" s="3097"/>
    </row>
    <row r="120" spans="1:11" ht="18.75" customHeight="1">
      <c r="A120" s="3091" t="str">
        <f>IF(项目基本情况!B9="房地产市场价值","",MID(E103,3,LEN(E103)-2))</f>
        <v/>
      </c>
      <c r="B120" s="3092"/>
      <c r="C120" s="3093"/>
      <c r="D120" s="3091">
        <f>H103</f>
        <v>0</v>
      </c>
      <c r="E120" s="3092"/>
      <c r="F120" s="3092"/>
      <c r="G120" s="3092"/>
      <c r="H120" s="3092"/>
      <c r="I120" s="3093"/>
      <c r="K120" s="2423" t="str">
        <f>IF(D120=0,"故，本次评估不存在"&amp;A120,"故，本次评估"&amp;A120&amp;"为人民币"&amp;D120&amp;"万元整。")</f>
        <v>故，本次评估不存在</v>
      </c>
    </row>
    <row r="121" spans="1:11" ht="18.75" customHeight="1">
      <c r="A121" s="3137" t="s">
        <v>2317</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t="e">
        <f ca="1">H107</f>
        <v>#N/A</v>
      </c>
      <c r="E122" s="3092"/>
      <c r="F122" s="3092"/>
      <c r="G122" s="3092"/>
      <c r="H122" s="3092"/>
      <c r="I122" s="3093"/>
    </row>
    <row r="123" spans="1:11" ht="18.75" customHeight="1">
      <c r="A123" s="3051" t="s">
        <v>2317</v>
      </c>
      <c r="B123" s="3051"/>
      <c r="C123" s="3051"/>
      <c r="D123" s="3096" t="e">
        <f ca="1">NUMBERSTRING(INT(D122*10000),2)&amp;"元整"</f>
        <v>#N/A</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2317</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2317</v>
      </c>
      <c r="B127" s="3051"/>
      <c r="C127" s="3051"/>
      <c r="D127" s="3096" t="e">
        <f>NUMBERSTRING(INT(D126*10000),2)&amp;"元整"</f>
        <v>#VALUE!</v>
      </c>
      <c r="E127" s="3098"/>
      <c r="F127" s="3098"/>
      <c r="G127" s="3098"/>
      <c r="H127" s="3098"/>
      <c r="I127" s="3097"/>
    </row>
    <row r="128" spans="1:11" ht="21.75" customHeight="1">
      <c r="A128" s="3099" t="s">
        <v>2318</v>
      </c>
      <c r="B128" s="3099"/>
      <c r="C128" s="3099"/>
      <c r="D128" s="3099"/>
      <c r="E128" s="3099"/>
      <c r="F128" s="3099"/>
      <c r="G128" s="3099"/>
      <c r="H128" s="3099"/>
      <c r="I128" s="3099"/>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2321</v>
      </c>
      <c r="G135" s="2544"/>
      <c r="H135" s="2544"/>
      <c r="I135" s="2545" t="s">
        <v>2322</v>
      </c>
    </row>
    <row r="136" spans="1:35" ht="21.75" customHeight="1">
      <c r="A136" s="793"/>
      <c r="B136" s="254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2324</v>
      </c>
    </row>
    <row r="139" spans="1:35" ht="21.75" customHeight="1">
      <c r="A139" s="793"/>
      <c r="B139" s="2546" t="s">
        <v>2325</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2324</v>
      </c>
    </row>
    <row r="142" spans="1:35" ht="21.75" customHeight="1">
      <c r="A142" s="793"/>
      <c r="B142" s="2546"/>
      <c r="C142" s="2547"/>
      <c r="D142" s="2548"/>
      <c r="E142" s="2548"/>
      <c r="F142" s="2340"/>
      <c r="G142" s="793"/>
      <c r="H142" s="793"/>
      <c r="I142" s="793"/>
    </row>
    <row r="143" spans="1:35" s="138"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A4" sqref="A4:J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4" t="s">
        <v>2529</v>
      </c>
      <c r="C1" s="1632" t="s">
        <v>2530</v>
      </c>
      <c r="D1" s="1619" t="s">
        <v>3058</v>
      </c>
      <c r="E1" s="2585"/>
      <c r="F1" s="2586" t="s">
        <v>2531</v>
      </c>
      <c r="G1" s="1629" t="s">
        <v>2532</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2" customFormat="1" ht="28.5" customHeight="1" thickTop="1">
      <c r="A2" s="1615" t="s">
        <v>1389</v>
      </c>
      <c r="B2" s="1416" t="e">
        <f>IF(C2="——",ROUND(C49*D3/10000,0),ROUND(C49*D3/10000,0)-D2)</f>
        <v>#N/A</v>
      </c>
      <c r="C2" s="2588" t="s">
        <v>70</v>
      </c>
      <c r="D2" s="1363" t="e">
        <f ca="1">SUMIF(INDIRECT("'"&amp;F2&amp;"'"&amp;"!A:A"),"承租人权益价值",INDIRECT("'"&amp;F2&amp;"'"&amp;"!c:c"))</f>
        <v>#REF!</v>
      </c>
      <c r="E2" s="2589" t="s">
        <v>2533</v>
      </c>
      <c r="F2" s="2590"/>
      <c r="G2" s="1122"/>
      <c r="H2" s="1122"/>
      <c r="I2" s="1122"/>
      <c r="J2" s="1122"/>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1390</v>
      </c>
      <c r="B3" s="398" t="e">
        <f>IF(C2="——",C49,ROUND(B2*10000/D3,0))</f>
        <v>#N/A</v>
      </c>
      <c r="C3" s="399" t="s">
        <v>2534</v>
      </c>
      <c r="D3" s="398">
        <f>IF(D1="",'数据-汇总表'!E3,SUMIF('数据-汇总表'!$C19:$C33,D1,'数据-汇总表'!$E19:$E33))</f>
        <v>0</v>
      </c>
      <c r="E3" s="1122"/>
      <c r="F3" s="2597"/>
      <c r="G3" s="1122"/>
      <c r="H3" s="1122"/>
      <c r="I3" s="1122"/>
      <c r="J3" s="1122"/>
      <c r="K3" s="2591"/>
      <c r="L3" s="2592"/>
      <c r="M3" s="2593"/>
      <c r="N3" s="2593"/>
      <c r="O3" s="2593"/>
      <c r="P3" s="2594"/>
      <c r="Q3" s="2595"/>
      <c r="R3" s="2595"/>
      <c r="S3" s="2595"/>
      <c r="T3" s="2595"/>
      <c r="U3" s="2595"/>
      <c r="V3" s="2595"/>
      <c r="W3" s="2595"/>
      <c r="X3" s="2595"/>
      <c r="Y3" s="2595"/>
      <c r="Z3" s="2595"/>
      <c r="AA3" s="2595"/>
      <c r="AB3" s="2595"/>
      <c r="AC3" s="1280"/>
    </row>
    <row r="4" spans="1:29" ht="15">
      <c r="A4" s="400" t="s">
        <v>2535</v>
      </c>
      <c r="B4" s="401"/>
      <c r="C4" s="3220" t="s">
        <v>2536</v>
      </c>
      <c r="D4" s="3221"/>
      <c r="E4" s="3222" t="s">
        <v>2537</v>
      </c>
      <c r="F4" s="3223"/>
      <c r="G4" s="3220" t="s">
        <v>2538</v>
      </c>
      <c r="H4" s="3221"/>
      <c r="I4" s="3220" t="s">
        <v>2539</v>
      </c>
      <c r="J4" s="3221"/>
      <c r="K4" s="2598" t="s">
        <v>2540</v>
      </c>
      <c r="L4" s="1128"/>
      <c r="M4" s="1129"/>
      <c r="N4" s="1129"/>
      <c r="O4" s="1129"/>
      <c r="P4" s="3224" t="s">
        <v>2541</v>
      </c>
      <c r="Q4" s="3225"/>
      <c r="R4" s="3207" t="s">
        <v>2537</v>
      </c>
      <c r="S4" s="3208"/>
      <c r="T4" s="3207" t="s">
        <v>2538</v>
      </c>
      <c r="U4" s="3208"/>
      <c r="V4" s="3204" t="s">
        <v>2539</v>
      </c>
      <c r="W4" s="3204"/>
      <c r="X4" s="1811"/>
      <c r="Y4" s="3207" t="s">
        <v>2541</v>
      </c>
      <c r="Z4" s="3208"/>
      <c r="AA4" s="3201" t="s">
        <v>2537</v>
      </c>
      <c r="AB4" s="3201" t="s">
        <v>2538</v>
      </c>
      <c r="AC4" s="3201" t="s">
        <v>2539</v>
      </c>
    </row>
    <row r="5" spans="1:29" ht="15">
      <c r="A5" s="403"/>
      <c r="B5" s="404"/>
      <c r="C5" s="3250" t="s">
        <v>3060</v>
      </c>
      <c r="D5" s="3214"/>
      <c r="E5" s="3211" t="str">
        <f>C5</f>
        <v>银座</v>
      </c>
      <c r="F5" s="3212"/>
      <c r="G5" s="3213" t="str">
        <f>C5</f>
        <v>银座</v>
      </c>
      <c r="H5" s="3214"/>
      <c r="I5" s="3213" t="str">
        <f>C5</f>
        <v>银座</v>
      </c>
      <c r="J5" s="3214"/>
      <c r="K5" s="2599"/>
      <c r="L5" s="1128"/>
      <c r="M5" s="1129"/>
      <c r="N5" s="1129"/>
      <c r="O5" s="1129"/>
      <c r="P5" s="3226"/>
      <c r="Q5" s="3227"/>
      <c r="R5" s="3209"/>
      <c r="S5" s="3210"/>
      <c r="T5" s="3209"/>
      <c r="U5" s="3210"/>
      <c r="V5" s="3204"/>
      <c r="W5" s="3204"/>
      <c r="X5" s="1811"/>
      <c r="Y5" s="3209"/>
      <c r="Z5" s="3210"/>
      <c r="AA5" s="3202"/>
      <c r="AB5" s="3202"/>
      <c r="AC5" s="3202"/>
    </row>
    <row r="6" spans="1:29" ht="15.75" thickBot="1">
      <c r="A6" s="405"/>
      <c r="B6" s="406"/>
      <c r="C6" s="3215" t="s">
        <v>2546</v>
      </c>
      <c r="D6" s="3216"/>
      <c r="E6" s="3217" t="s">
        <v>2546</v>
      </c>
      <c r="F6" s="3218"/>
      <c r="G6" s="3215" t="s">
        <v>2546</v>
      </c>
      <c r="H6" s="3216"/>
      <c r="I6" s="3215" t="s">
        <v>2546</v>
      </c>
      <c r="J6" s="3216"/>
      <c r="K6" s="2599" t="s">
        <v>2547</v>
      </c>
      <c r="L6" s="1128"/>
      <c r="M6" s="1129"/>
      <c r="N6" s="1129"/>
      <c r="O6" s="1129"/>
      <c r="P6" s="3228"/>
      <c r="Q6" s="3229"/>
      <c r="R6" s="3209"/>
      <c r="S6" s="3210"/>
      <c r="T6" s="3230"/>
      <c r="U6" s="3231"/>
      <c r="V6" s="3204"/>
      <c r="W6" s="3204"/>
      <c r="X6" s="1811"/>
      <c r="Y6" s="3230"/>
      <c r="Z6" s="3231"/>
      <c r="AA6" s="3203"/>
      <c r="AB6" s="3203"/>
      <c r="AC6" s="3203"/>
    </row>
    <row r="7" spans="1:29" s="116" customFormat="1" ht="15.75" thickBot="1">
      <c r="A7" s="407" t="s">
        <v>2548</v>
      </c>
      <c r="B7" s="408"/>
      <c r="C7" s="409">
        <f>'数据-取费表'!B2</f>
        <v>43656</v>
      </c>
      <c r="D7" s="410">
        <v>100</v>
      </c>
      <c r="E7" s="411">
        <v>43632</v>
      </c>
      <c r="F7" s="412">
        <f>SUMIF(58:58,YEAR(E7)&amp;"-"&amp;MONTH(E7),59:59)</f>
        <v>100</v>
      </c>
      <c r="G7" s="411">
        <v>43628</v>
      </c>
      <c r="H7" s="410">
        <f>SUMIF(58:58,YEAR(G7)&amp;"-"&amp;MONTH(G7),59:59)</f>
        <v>100</v>
      </c>
      <c r="I7" s="411">
        <v>43576</v>
      </c>
      <c r="J7" s="410">
        <f>SUMIF(58:58,YEAR(I7)&amp;"-"&amp;MONTH(I7),59:59)</f>
        <v>100</v>
      </c>
      <c r="K7" s="2600"/>
      <c r="L7" s="1130"/>
      <c r="M7" s="1131"/>
      <c r="N7" s="1131"/>
      <c r="O7" s="1131"/>
      <c r="P7" s="3205" t="s">
        <v>2549</v>
      </c>
      <c r="Q7" s="3232"/>
      <c r="R7" s="768" t="s">
        <v>23</v>
      </c>
      <c r="S7" s="769">
        <f t="shared" ref="S7:S15" si="0">F7</f>
        <v>100</v>
      </c>
      <c r="T7" s="768" t="s">
        <v>23</v>
      </c>
      <c r="U7" s="769">
        <f t="shared" ref="U7:U15" si="1">H7</f>
        <v>100</v>
      </c>
      <c r="V7" s="768" t="s">
        <v>23</v>
      </c>
      <c r="W7" s="769">
        <f t="shared" ref="W7:W15" si="2">J7</f>
        <v>100</v>
      </c>
      <c r="X7" s="770"/>
      <c r="Y7" s="3205" t="s">
        <v>2549</v>
      </c>
      <c r="Z7" s="3206"/>
      <c r="AA7" s="771">
        <f>D7/F7</f>
        <v>1</v>
      </c>
      <c r="AB7" s="771">
        <f>D7/H7</f>
        <v>1</v>
      </c>
      <c r="AC7" s="771">
        <f>D7/J7</f>
        <v>1</v>
      </c>
    </row>
    <row r="8" spans="1:29" s="116" customFormat="1" ht="15.75" thickBot="1">
      <c r="A8" s="407" t="s">
        <v>2550</v>
      </c>
      <c r="B8" s="408"/>
      <c r="C8" s="413" t="s">
        <v>2551</v>
      </c>
      <c r="D8" s="410">
        <v>100</v>
      </c>
      <c r="E8" s="2601" t="s">
        <v>3061</v>
      </c>
      <c r="F8" s="412">
        <f>SUMIF(61:61,E8,62:62)-SUMIF(61:61,C8,62:62)+100</f>
        <v>100</v>
      </c>
      <c r="G8" s="413" t="s">
        <v>3061</v>
      </c>
      <c r="H8" s="410">
        <f>SUMIF(61:61,G8,62:62)-SUMIF(61:61,C8,62:62)+100</f>
        <v>100</v>
      </c>
      <c r="I8" s="2601" t="s">
        <v>3061</v>
      </c>
      <c r="J8" s="410">
        <f>SUMIF(61:61,I8,62:62)-SUMIF(61:61,C8,62:62)+100</f>
        <v>100</v>
      </c>
      <c r="K8" s="2600"/>
      <c r="L8" s="1130"/>
      <c r="M8" s="1131"/>
      <c r="N8" s="1131"/>
      <c r="O8" s="1131"/>
      <c r="P8" s="3205" t="s">
        <v>2552</v>
      </c>
      <c r="Q8" s="3206"/>
      <c r="R8" s="768" t="s">
        <v>23</v>
      </c>
      <c r="S8" s="769">
        <f t="shared" si="0"/>
        <v>100</v>
      </c>
      <c r="T8" s="768" t="s">
        <v>23</v>
      </c>
      <c r="U8" s="769">
        <f t="shared" si="1"/>
        <v>100</v>
      </c>
      <c r="V8" s="768" t="s">
        <v>23</v>
      </c>
      <c r="W8" s="769">
        <f t="shared" si="2"/>
        <v>100</v>
      </c>
      <c r="X8" s="770"/>
      <c r="Y8" s="3205" t="s">
        <v>2552</v>
      </c>
      <c r="Z8" s="3206"/>
      <c r="AA8" s="771">
        <f t="shared" ref="AA8:AA19" si="3">D8/F8</f>
        <v>1</v>
      </c>
      <c r="AB8" s="771">
        <f t="shared" ref="AB8:AB19" si="4">D8/H8</f>
        <v>1</v>
      </c>
      <c r="AC8" s="771">
        <f t="shared" ref="AC8:AC19" si="5">D8/J8</f>
        <v>1</v>
      </c>
    </row>
    <row r="9" spans="1:29" s="116" customFormat="1">
      <c r="A9" s="414" t="s">
        <v>2553</v>
      </c>
      <c r="B9" s="70" t="s">
        <v>2554</v>
      </c>
      <c r="C9" s="2975" t="s">
        <v>3063</v>
      </c>
      <c r="D9" s="134">
        <v>100</v>
      </c>
      <c r="E9" s="416" t="s">
        <v>3062</v>
      </c>
      <c r="F9" s="417">
        <f>SUMIF(63:63,E9,64:64)-SUMIF(63:63,C9,64:64)+100</f>
        <v>100</v>
      </c>
      <c r="G9" s="418" t="s">
        <v>3062</v>
      </c>
      <c r="H9" s="134">
        <f>SUMIF(63:63,G9,64:64)-SUMIF(63:63,C9,64:64)+100</f>
        <v>100</v>
      </c>
      <c r="I9" s="418" t="s">
        <v>3062</v>
      </c>
      <c r="J9" s="134">
        <f>SUMIF(63:63,I9,64:64)-SUMIF(63:63,C9,64:64)+100</f>
        <v>100</v>
      </c>
      <c r="K9" s="2600"/>
      <c r="L9" s="1130"/>
      <c r="M9" s="1131"/>
      <c r="N9" s="1131"/>
      <c r="O9" s="1131"/>
      <c r="P9" s="3219" t="s">
        <v>2555</v>
      </c>
      <c r="Q9" s="1793" t="str">
        <f t="shared" ref="Q9:Q15" si="6">B9</f>
        <v>用途</v>
      </c>
      <c r="R9" s="768" t="s">
        <v>17</v>
      </c>
      <c r="S9" s="769">
        <f t="shared" si="0"/>
        <v>100</v>
      </c>
      <c r="T9" s="768" t="s">
        <v>17</v>
      </c>
      <c r="U9" s="769">
        <f t="shared" si="1"/>
        <v>100</v>
      </c>
      <c r="V9" s="768" t="s">
        <v>17</v>
      </c>
      <c r="W9" s="769">
        <f t="shared" si="2"/>
        <v>100</v>
      </c>
      <c r="X9" s="770"/>
      <c r="Y9" s="3051"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v>1</v>
      </c>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51"/>
      <c r="Z10" s="54" t="str">
        <f t="shared" si="7"/>
        <v>土地使用年限（年）</v>
      </c>
      <c r="AA10" s="771">
        <f t="shared" si="3"/>
        <v>1</v>
      </c>
      <c r="AB10" s="771">
        <f t="shared" si="4"/>
        <v>1</v>
      </c>
      <c r="AC10" s="771">
        <f t="shared" si="5"/>
        <v>1</v>
      </c>
    </row>
    <row r="11" spans="1:29" ht="15">
      <c r="A11" s="427"/>
      <c r="B11" s="421" t="s">
        <v>2558</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6"/>
      <c r="M11" s="1129"/>
      <c r="N11" s="1129"/>
      <c r="O11" s="1129"/>
      <c r="P11" s="3219"/>
      <c r="Q11" s="1793" t="str">
        <f t="shared" si="6"/>
        <v>容积率</v>
      </c>
      <c r="R11" s="768" t="s">
        <v>21</v>
      </c>
      <c r="S11" s="769">
        <f t="shared" si="0"/>
        <v>100</v>
      </c>
      <c r="T11" s="768" t="s">
        <v>21</v>
      </c>
      <c r="U11" s="769">
        <f t="shared" si="1"/>
        <v>100</v>
      </c>
      <c r="V11" s="768" t="s">
        <v>21</v>
      </c>
      <c r="W11" s="769">
        <f t="shared" si="2"/>
        <v>100</v>
      </c>
      <c r="X11" s="770"/>
      <c r="Y11" s="3051"/>
      <c r="Z11" s="54" t="str">
        <f t="shared" si="7"/>
        <v>容积率</v>
      </c>
      <c r="AA11" s="771">
        <f t="shared" si="3"/>
        <v>1</v>
      </c>
      <c r="AB11" s="771">
        <f t="shared" si="4"/>
        <v>1</v>
      </c>
      <c r="AC11" s="771">
        <f t="shared" si="5"/>
        <v>1</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0"/>
      <c r="M12" s="1131"/>
      <c r="N12" s="1131"/>
      <c r="O12" s="1131"/>
      <c r="P12" s="3219"/>
      <c r="Q12" s="1793">
        <f t="shared" si="6"/>
        <v>111</v>
      </c>
      <c r="R12" s="768" t="s">
        <v>21</v>
      </c>
      <c r="S12" s="769">
        <f t="shared" si="0"/>
        <v>100</v>
      </c>
      <c r="T12" s="768" t="s">
        <v>21</v>
      </c>
      <c r="U12" s="769">
        <f t="shared" si="1"/>
        <v>100</v>
      </c>
      <c r="V12" s="768" t="s">
        <v>21</v>
      </c>
      <c r="W12" s="769">
        <f t="shared" si="2"/>
        <v>100</v>
      </c>
      <c r="X12" s="770"/>
      <c r="Y12" s="3051"/>
      <c r="Z12" s="54">
        <f t="shared" si="7"/>
        <v>111</v>
      </c>
      <c r="AA12" s="771">
        <f>D12/F12</f>
        <v>1</v>
      </c>
      <c r="AB12" s="771">
        <f>D12/H12</f>
        <v>1</v>
      </c>
      <c r="AC12" s="771">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38"/>
      <c r="M13" s="1129"/>
      <c r="N13" s="1129"/>
      <c r="O13" s="1129"/>
      <c r="P13" s="3219"/>
      <c r="Q13" s="1793">
        <f t="shared" si="6"/>
        <v>111</v>
      </c>
      <c r="R13" s="768" t="s">
        <v>21</v>
      </c>
      <c r="S13" s="769">
        <f t="shared" si="0"/>
        <v>100</v>
      </c>
      <c r="T13" s="768" t="s">
        <v>21</v>
      </c>
      <c r="U13" s="769">
        <f t="shared" si="1"/>
        <v>100</v>
      </c>
      <c r="V13" s="768" t="s">
        <v>21</v>
      </c>
      <c r="W13" s="769">
        <f t="shared" si="2"/>
        <v>100</v>
      </c>
      <c r="X13" s="770"/>
      <c r="Y13" s="3051"/>
      <c r="Z13" s="54">
        <f t="shared" si="7"/>
        <v>111</v>
      </c>
      <c r="AA13" s="771">
        <f t="shared" si="3"/>
        <v>1</v>
      </c>
      <c r="AB13" s="771">
        <f t="shared" si="4"/>
        <v>1</v>
      </c>
      <c r="AC13" s="771">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38"/>
      <c r="M14" s="1129"/>
      <c r="N14" s="1129"/>
      <c r="O14" s="1129"/>
      <c r="P14" s="3219"/>
      <c r="Q14" s="1793">
        <f t="shared" si="6"/>
        <v>111</v>
      </c>
      <c r="R14" s="768" t="s">
        <v>21</v>
      </c>
      <c r="S14" s="769">
        <f t="shared" si="0"/>
        <v>100</v>
      </c>
      <c r="T14" s="768" t="s">
        <v>21</v>
      </c>
      <c r="U14" s="769">
        <f t="shared" si="1"/>
        <v>100</v>
      </c>
      <c r="V14" s="768" t="s">
        <v>21</v>
      </c>
      <c r="W14" s="769">
        <f t="shared" si="2"/>
        <v>100</v>
      </c>
      <c r="X14" s="770"/>
      <c r="Y14" s="3051"/>
      <c r="Z14" s="54">
        <f t="shared" si="7"/>
        <v>111</v>
      </c>
      <c r="AA14" s="771">
        <f t="shared" si="3"/>
        <v>1</v>
      </c>
      <c r="AB14" s="771">
        <f t="shared" si="4"/>
        <v>1</v>
      </c>
      <c r="AC14" s="771">
        <f t="shared" si="5"/>
        <v>1</v>
      </c>
    </row>
    <row r="15" spans="1:29" ht="99.75">
      <c r="A15" s="439" t="s">
        <v>2559</v>
      </c>
      <c r="B15" s="68" t="s">
        <v>2083</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3" t="s">
        <v>2560</v>
      </c>
      <c r="Q15" s="1808" t="str">
        <f t="shared" si="6"/>
        <v>居住社区成熟度</v>
      </c>
      <c r="R15" s="772" t="s">
        <v>21</v>
      </c>
      <c r="S15" s="773">
        <f t="shared" si="0"/>
        <v>100</v>
      </c>
      <c r="T15" s="772" t="s">
        <v>21</v>
      </c>
      <c r="U15" s="773">
        <f t="shared" si="1"/>
        <v>100</v>
      </c>
      <c r="V15" s="772" t="s">
        <v>21</v>
      </c>
      <c r="W15" s="773">
        <f t="shared" si="2"/>
        <v>100</v>
      </c>
      <c r="X15" s="1811"/>
      <c r="Y15" s="3235" t="s">
        <v>2560</v>
      </c>
      <c r="Z15" s="1812" t="str">
        <f t="shared" si="7"/>
        <v>居住社区成熟度</v>
      </c>
      <c r="AA15" s="1809">
        <f t="shared" si="3"/>
        <v>1</v>
      </c>
      <c r="AB15" s="1809">
        <f t="shared" si="4"/>
        <v>1</v>
      </c>
      <c r="AC15" s="1809">
        <f t="shared" si="5"/>
        <v>1</v>
      </c>
    </row>
    <row r="16" spans="1:29" ht="15">
      <c r="A16" s="427"/>
      <c r="B16" s="445"/>
      <c r="C16" s="446"/>
      <c r="D16" s="447"/>
      <c r="E16" s="2606"/>
      <c r="F16" s="447"/>
      <c r="G16" s="2607"/>
      <c r="H16" s="449"/>
      <c r="I16" s="2607"/>
      <c r="J16" s="447"/>
      <c r="K16" s="2608"/>
      <c r="L16" s="1138"/>
      <c r="M16" s="1129"/>
      <c r="N16" s="1129"/>
      <c r="O16" s="1129"/>
      <c r="P16" s="3234"/>
      <c r="Q16" s="1808"/>
      <c r="R16" s="772"/>
      <c r="S16" s="773"/>
      <c r="T16" s="772"/>
      <c r="U16" s="773"/>
      <c r="V16" s="772"/>
      <c r="W16" s="773"/>
      <c r="X16" s="1811"/>
      <c r="Y16" s="3236"/>
      <c r="Z16" s="1812"/>
      <c r="AA16" s="1809">
        <v>1</v>
      </c>
      <c r="AB16" s="1809">
        <v>1</v>
      </c>
      <c r="AC16" s="1809">
        <v>1</v>
      </c>
    </row>
    <row r="17" spans="1:29" ht="85.5">
      <c r="A17" s="427"/>
      <c r="B17" s="450" t="s">
        <v>2095</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4"/>
      <c r="Q17" s="1808" t="str">
        <f>B17</f>
        <v>交通便捷度</v>
      </c>
      <c r="R17" s="772" t="s">
        <v>21</v>
      </c>
      <c r="S17" s="773">
        <f>F17</f>
        <v>100</v>
      </c>
      <c r="T17" s="772" t="s">
        <v>21</v>
      </c>
      <c r="U17" s="773">
        <f>H17</f>
        <v>100</v>
      </c>
      <c r="V17" s="772" t="s">
        <v>21</v>
      </c>
      <c r="W17" s="773">
        <f>J17</f>
        <v>100</v>
      </c>
      <c r="X17" s="1811"/>
      <c r="Y17" s="3236"/>
      <c r="Z17" s="1812" t="str">
        <f>Q17</f>
        <v>交通便捷度</v>
      </c>
      <c r="AA17" s="1809">
        <f t="shared" si="3"/>
        <v>1</v>
      </c>
      <c r="AB17" s="1809">
        <f t="shared" si="4"/>
        <v>1</v>
      </c>
      <c r="AC17" s="1809">
        <f t="shared" si="5"/>
        <v>1</v>
      </c>
    </row>
    <row r="18" spans="1:29" ht="15">
      <c r="A18" s="427"/>
      <c r="B18" s="455"/>
      <c r="C18" s="2610"/>
      <c r="D18" s="449"/>
      <c r="E18" s="2611"/>
      <c r="F18" s="449"/>
      <c r="G18" s="2612"/>
      <c r="H18" s="447"/>
      <c r="I18" s="2612"/>
      <c r="J18" s="447"/>
      <c r="K18" s="2608"/>
      <c r="L18" s="1138"/>
      <c r="M18" s="1129"/>
      <c r="N18" s="1129"/>
      <c r="O18" s="1129"/>
      <c r="P18" s="3234"/>
      <c r="Q18" s="1808"/>
      <c r="R18" s="772"/>
      <c r="S18" s="773"/>
      <c r="T18" s="772"/>
      <c r="U18" s="773"/>
      <c r="V18" s="772"/>
      <c r="W18" s="773"/>
      <c r="X18" s="1811"/>
      <c r="Y18" s="3236"/>
      <c r="Z18" s="1812"/>
      <c r="AA18" s="1809">
        <v>1</v>
      </c>
      <c r="AB18" s="1809">
        <v>1</v>
      </c>
      <c r="AC18" s="1809">
        <v>1</v>
      </c>
    </row>
    <row r="19" spans="1:29" ht="42.75">
      <c r="A19" s="427"/>
      <c r="B19" s="450" t="s">
        <v>2093</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4"/>
      <c r="Q19" s="1808" t="str">
        <f>B19</f>
        <v>公共配套设施</v>
      </c>
      <c r="R19" s="772" t="s">
        <v>21</v>
      </c>
      <c r="S19" s="773">
        <f>F19</f>
        <v>100</v>
      </c>
      <c r="T19" s="772" t="s">
        <v>21</v>
      </c>
      <c r="U19" s="773">
        <f>H19</f>
        <v>100</v>
      </c>
      <c r="V19" s="772" t="s">
        <v>21</v>
      </c>
      <c r="W19" s="773">
        <f>J19</f>
        <v>100</v>
      </c>
      <c r="X19" s="1811"/>
      <c r="Y19" s="3236"/>
      <c r="Z19" s="1812" t="str">
        <f>Q19</f>
        <v>公共配套设施</v>
      </c>
      <c r="AA19" s="1809">
        <f t="shared" si="3"/>
        <v>1</v>
      </c>
      <c r="AB19" s="1809">
        <f t="shared" si="4"/>
        <v>1</v>
      </c>
      <c r="AC19" s="1809">
        <f t="shared" si="5"/>
        <v>1</v>
      </c>
    </row>
    <row r="20" spans="1:29" ht="15">
      <c r="A20" s="427"/>
      <c r="B20" s="455"/>
      <c r="C20" s="446"/>
      <c r="D20" s="447"/>
      <c r="E20" s="2606"/>
      <c r="F20" s="447"/>
      <c r="G20" s="2607"/>
      <c r="H20" s="447"/>
      <c r="I20" s="2607"/>
      <c r="J20" s="447"/>
      <c r="K20" s="2608"/>
      <c r="L20" s="1138"/>
      <c r="M20" s="1129"/>
      <c r="N20" s="1129"/>
      <c r="O20" s="1129"/>
      <c r="P20" s="3234"/>
      <c r="Q20" s="1808"/>
      <c r="R20" s="772"/>
      <c r="S20" s="773"/>
      <c r="T20" s="772"/>
      <c r="U20" s="773"/>
      <c r="V20" s="772"/>
      <c r="W20" s="773"/>
      <c r="X20" s="1811"/>
      <c r="Y20" s="3236"/>
      <c r="Z20" s="1812"/>
      <c r="AA20" s="1809">
        <v>1</v>
      </c>
      <c r="AB20" s="1809">
        <v>1</v>
      </c>
      <c r="AC20" s="1809">
        <v>1</v>
      </c>
    </row>
    <row r="21" spans="1:29" ht="28.5">
      <c r="A21" s="427"/>
      <c r="B21" s="1382" t="s">
        <v>2096</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4"/>
      <c r="Q21" s="1808" t="str">
        <f>B21</f>
        <v>基础设施水平</v>
      </c>
      <c r="R21" s="772" t="s">
        <v>17</v>
      </c>
      <c r="S21" s="773">
        <f>F21</f>
        <v>100</v>
      </c>
      <c r="T21" s="772" t="s">
        <v>17</v>
      </c>
      <c r="U21" s="773">
        <f>H21</f>
        <v>100</v>
      </c>
      <c r="V21" s="772" t="s">
        <v>17</v>
      </c>
      <c r="W21" s="773">
        <f>J21</f>
        <v>100</v>
      </c>
      <c r="X21" s="1811"/>
      <c r="Y21" s="323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7"/>
      <c r="G22" s="2613"/>
      <c r="H22" s="447"/>
      <c r="I22" s="446"/>
      <c r="J22" s="447"/>
      <c r="K22" s="2614"/>
      <c r="L22" s="1138"/>
      <c r="M22" s="1129"/>
      <c r="N22" s="1129"/>
      <c r="O22" s="1129"/>
      <c r="P22" s="3234"/>
      <c r="Q22" s="1808"/>
      <c r="R22" s="772"/>
      <c r="S22" s="773"/>
      <c r="T22" s="772"/>
      <c r="U22" s="773"/>
      <c r="V22" s="772"/>
      <c r="W22" s="773"/>
      <c r="X22" s="1811"/>
      <c r="Y22" s="3236"/>
      <c r="Z22" s="1812"/>
      <c r="AA22" s="1809">
        <v>1</v>
      </c>
      <c r="AB22" s="1809">
        <v>1</v>
      </c>
      <c r="AC22" s="1809">
        <v>1</v>
      </c>
    </row>
    <row r="23" spans="1:29" ht="57">
      <c r="A23" s="427"/>
      <c r="B23" s="450" t="s">
        <v>2100</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4"/>
      <c r="Q23" s="1808" t="str">
        <f>B23</f>
        <v>自然及人文环境</v>
      </c>
      <c r="R23" s="772" t="s">
        <v>21</v>
      </c>
      <c r="S23" s="773">
        <f>F23</f>
        <v>100</v>
      </c>
      <c r="T23" s="772" t="s">
        <v>21</v>
      </c>
      <c r="U23" s="773">
        <f>H23</f>
        <v>100</v>
      </c>
      <c r="V23" s="772" t="s">
        <v>21</v>
      </c>
      <c r="W23" s="773">
        <f>J23</f>
        <v>100</v>
      </c>
      <c r="X23" s="1811"/>
      <c r="Y23" s="3236"/>
      <c r="Z23" s="1812" t="str">
        <f>Q23</f>
        <v>自然及人文环境</v>
      </c>
      <c r="AA23" s="1809">
        <f>D23/F23</f>
        <v>1</v>
      </c>
      <c r="AB23" s="1809">
        <f>D23/H23</f>
        <v>1</v>
      </c>
      <c r="AC23" s="1809">
        <f>D23/J23</f>
        <v>1</v>
      </c>
    </row>
    <row r="24" spans="1:29" ht="15">
      <c r="A24" s="427"/>
      <c r="B24" s="455"/>
      <c r="C24" s="446"/>
      <c r="D24" s="447"/>
      <c r="E24" s="2606"/>
      <c r="F24" s="447"/>
      <c r="G24" s="2607"/>
      <c r="H24" s="447"/>
      <c r="I24" s="2607"/>
      <c r="J24" s="447"/>
      <c r="K24" s="2608"/>
      <c r="L24" s="1138"/>
      <c r="M24" s="1129"/>
      <c r="N24" s="1129"/>
      <c r="O24" s="1129"/>
      <c r="P24" s="3234"/>
      <c r="Q24" s="1808"/>
      <c r="R24" s="772"/>
      <c r="S24" s="773"/>
      <c r="T24" s="772"/>
      <c r="U24" s="773"/>
      <c r="V24" s="772"/>
      <c r="W24" s="773"/>
      <c r="X24" s="1811"/>
      <c r="Y24" s="3236"/>
      <c r="Z24" s="1812"/>
      <c r="AA24" s="1809">
        <v>1</v>
      </c>
      <c r="AB24" s="1809">
        <v>1</v>
      </c>
      <c r="AC24" s="1809">
        <v>1</v>
      </c>
    </row>
    <row r="25" spans="1:29" ht="15">
      <c r="A25" s="427"/>
      <c r="B25" s="421" t="s">
        <v>2561</v>
      </c>
      <c r="C25" s="459">
        <v>26</v>
      </c>
      <c r="D25" s="434">
        <v>100</v>
      </c>
      <c r="E25" s="2615">
        <v>13</v>
      </c>
      <c r="F25" s="434">
        <f>SUMIF(86:86,E25,87:87)-SUMIF(86:86,C25,87:87)+100</f>
        <v>93.5</v>
      </c>
      <c r="G25" s="2616">
        <v>17</v>
      </c>
      <c r="H25" s="434">
        <f>SUMIF(86:86,G25,87:87)-SUMIF(86:86,C25,87:87)+100</f>
        <v>95.5</v>
      </c>
      <c r="I25" s="2616">
        <v>16</v>
      </c>
      <c r="J25" s="434">
        <f>SUMIF(86:86,I25,87:87)-SUMIF(86:86,C25,87:87)+100</f>
        <v>95</v>
      </c>
      <c r="K25" s="425">
        <v>0.5</v>
      </c>
      <c r="L25" s="1138"/>
      <c r="M25" s="1129"/>
      <c r="N25" s="1129"/>
      <c r="O25" s="1129"/>
      <c r="P25" s="3234"/>
      <c r="Q25" s="1808" t="str">
        <f t="shared" ref="Q25:Q46" si="11">B25</f>
        <v>楼层-1</v>
      </c>
      <c r="R25" s="772" t="s">
        <v>21</v>
      </c>
      <c r="S25" s="773">
        <f t="shared" ref="S25:S46" si="12">F25</f>
        <v>93.5</v>
      </c>
      <c r="T25" s="772" t="s">
        <v>21</v>
      </c>
      <c r="U25" s="773">
        <f t="shared" ref="U25:U46" si="13">H25</f>
        <v>95.5</v>
      </c>
      <c r="V25" s="772" t="s">
        <v>21</v>
      </c>
      <c r="W25" s="773">
        <f t="shared" ref="W25:W46" si="14">J25</f>
        <v>95</v>
      </c>
      <c r="X25" s="1811"/>
      <c r="Y25" s="3236"/>
      <c r="Z25" s="1812" t="str">
        <f>Q25</f>
        <v>楼层-1</v>
      </c>
      <c r="AA25" s="1809">
        <f t="shared" ref="AA25:AA46" si="15">D25/F25</f>
        <v>1.0695187165775402</v>
      </c>
      <c r="AB25" s="1809">
        <f t="shared" ref="AB25:AB46" si="16">D25/H25</f>
        <v>1.0471204188481675</v>
      </c>
      <c r="AC25" s="1809">
        <f t="shared" ref="AC25:AC46" si="17">D25/J25</f>
        <v>1.0526315789473684</v>
      </c>
    </row>
    <row r="26" spans="1:29" ht="15">
      <c r="A26" s="427"/>
      <c r="B26" s="421" t="s">
        <v>2562</v>
      </c>
      <c r="C26" s="459" t="s">
        <v>3066</v>
      </c>
      <c r="D26" s="434">
        <v>100</v>
      </c>
      <c r="E26" s="2615" t="s">
        <v>3066</v>
      </c>
      <c r="F26" s="434">
        <f>SUMIF(88:88,E26,89:89)-SUMIF(88:88,C26,89:89)+100</f>
        <v>100</v>
      </c>
      <c r="G26" s="2616" t="s">
        <v>3064</v>
      </c>
      <c r="H26" s="434">
        <f>SUMIF(88:88,G26,89:89)-SUMIF(88:88,C26,89:89)+100</f>
        <v>102</v>
      </c>
      <c r="I26" s="2616" t="s">
        <v>3066</v>
      </c>
      <c r="J26" s="434">
        <f>SUMIF(88:88,I26,89:89)-SUMIF(88:88,C26,89:89)+100</f>
        <v>100</v>
      </c>
      <c r="K26" s="425">
        <v>1</v>
      </c>
      <c r="L26" s="1138"/>
      <c r="M26" s="1129"/>
      <c r="N26" s="1129"/>
      <c r="O26" s="1129"/>
      <c r="P26" s="3234"/>
      <c r="Q26" s="1808" t="str">
        <f t="shared" si="11"/>
        <v>朝向</v>
      </c>
      <c r="R26" s="772" t="s">
        <v>21</v>
      </c>
      <c r="S26" s="773">
        <f t="shared" si="12"/>
        <v>100</v>
      </c>
      <c r="T26" s="772" t="s">
        <v>21</v>
      </c>
      <c r="U26" s="773">
        <f t="shared" si="13"/>
        <v>102</v>
      </c>
      <c r="V26" s="772" t="s">
        <v>21</v>
      </c>
      <c r="W26" s="773">
        <f t="shared" si="14"/>
        <v>100</v>
      </c>
      <c r="X26" s="1811"/>
      <c r="Y26" s="3236"/>
      <c r="Z26" s="1812" t="str">
        <f>Q26</f>
        <v>朝向</v>
      </c>
      <c r="AA26" s="1809">
        <f t="shared" si="15"/>
        <v>1</v>
      </c>
      <c r="AB26" s="1809">
        <f t="shared" si="16"/>
        <v>0.98039215686274506</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3"/>
      <c r="L27" s="1130"/>
      <c r="M27" s="1131"/>
      <c r="N27" s="1131"/>
      <c r="O27" s="1131"/>
      <c r="P27" s="3234"/>
      <c r="Q27" s="1793">
        <f t="shared" si="11"/>
        <v>111</v>
      </c>
      <c r="R27" s="768" t="s">
        <v>21</v>
      </c>
      <c r="S27" s="769">
        <f t="shared" si="12"/>
        <v>100</v>
      </c>
      <c r="T27" s="768" t="s">
        <v>21</v>
      </c>
      <c r="U27" s="769">
        <f t="shared" si="13"/>
        <v>100</v>
      </c>
      <c r="V27" s="768" t="s">
        <v>21</v>
      </c>
      <c r="W27" s="769">
        <f t="shared" si="14"/>
        <v>100</v>
      </c>
      <c r="X27" s="770"/>
      <c r="Y27" s="3236"/>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7"/>
      <c r="H28" s="434">
        <f>SUMIF(92:92,G28,93:93)-SUMIF(92:92,C28,93:93)+100</f>
        <v>100</v>
      </c>
      <c r="I28" s="433"/>
      <c r="J28" s="434">
        <f>SUMIF(92:92,I28,93:93)-SUMIF(92:92,C28,93:93)+100</f>
        <v>100</v>
      </c>
      <c r="K28" s="2603"/>
      <c r="L28" s="1138"/>
      <c r="M28" s="1129"/>
      <c r="N28" s="1129"/>
      <c r="O28" s="1129"/>
      <c r="P28" s="3234"/>
      <c r="Q28" s="1808">
        <f t="shared" si="11"/>
        <v>111</v>
      </c>
      <c r="R28" s="772" t="s">
        <v>21</v>
      </c>
      <c r="S28" s="773">
        <f t="shared" si="12"/>
        <v>100</v>
      </c>
      <c r="T28" s="772" t="s">
        <v>21</v>
      </c>
      <c r="U28" s="773">
        <f t="shared" si="13"/>
        <v>100</v>
      </c>
      <c r="V28" s="772" t="s">
        <v>21</v>
      </c>
      <c r="W28" s="773">
        <f t="shared" si="14"/>
        <v>100</v>
      </c>
      <c r="X28" s="1811"/>
      <c r="Y28" s="3236"/>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7"/>
      <c r="H29" s="434">
        <f>SUMIF(94:94,G29,95:95)-SUMIF(94:94,C29,95:95)+100</f>
        <v>100</v>
      </c>
      <c r="I29" s="433"/>
      <c r="J29" s="434">
        <f>SUMIF(94:94,I29,95:95)-SUMIF(94:94,C29,95:95)+100</f>
        <v>100</v>
      </c>
      <c r="K29" s="2603"/>
      <c r="L29" s="1138"/>
      <c r="M29" s="1129"/>
      <c r="N29" s="1129"/>
      <c r="O29" s="1129"/>
      <c r="P29" s="3234"/>
      <c r="Q29" s="1808">
        <f t="shared" si="11"/>
        <v>111</v>
      </c>
      <c r="R29" s="772" t="s">
        <v>21</v>
      </c>
      <c r="S29" s="773">
        <f t="shared" si="12"/>
        <v>100</v>
      </c>
      <c r="T29" s="772" t="s">
        <v>21</v>
      </c>
      <c r="U29" s="773">
        <f t="shared" si="13"/>
        <v>100</v>
      </c>
      <c r="V29" s="772" t="s">
        <v>21</v>
      </c>
      <c r="W29" s="773">
        <f t="shared" si="14"/>
        <v>100</v>
      </c>
      <c r="X29" s="1811"/>
      <c r="Y29" s="3236"/>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7"/>
      <c r="H30" s="434">
        <f>SUMIF(96:96,G30,97:97)-SUMIF(96:96,C30,97:97)+100</f>
        <v>100</v>
      </c>
      <c r="I30" s="433"/>
      <c r="J30" s="434">
        <f>SUMIF(96:96,I30,97:97)-SUMIF(96:96,C30,97:97)+100</f>
        <v>100</v>
      </c>
      <c r="K30" s="2603"/>
      <c r="L30" s="1138"/>
      <c r="M30" s="1129"/>
      <c r="N30" s="1129"/>
      <c r="O30" s="1129"/>
      <c r="P30" s="3234"/>
      <c r="Q30" s="1808">
        <f t="shared" si="11"/>
        <v>111</v>
      </c>
      <c r="R30" s="772" t="s">
        <v>21</v>
      </c>
      <c r="S30" s="773">
        <f t="shared" si="12"/>
        <v>100</v>
      </c>
      <c r="T30" s="772" t="s">
        <v>21</v>
      </c>
      <c r="U30" s="773">
        <f t="shared" si="13"/>
        <v>100</v>
      </c>
      <c r="V30" s="772" t="s">
        <v>21</v>
      </c>
      <c r="W30" s="773">
        <f t="shared" si="14"/>
        <v>100</v>
      </c>
      <c r="X30" s="1811"/>
      <c r="Y30" s="3236"/>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8"/>
      <c r="H31" s="437">
        <f>SUMIF(98:98,G31,99:99)-SUMIF(98:98,C31,99:99)+100</f>
        <v>100</v>
      </c>
      <c r="I31" s="436"/>
      <c r="J31" s="437">
        <f>SUMIF(98:98,I31,99:99)-SUMIF(98:98,C31,99:99)+100</f>
        <v>100</v>
      </c>
      <c r="K31" s="2603"/>
      <c r="L31" s="1138"/>
      <c r="M31" s="1129"/>
      <c r="N31" s="1129"/>
      <c r="O31" s="1129"/>
      <c r="P31" s="3234"/>
      <c r="Q31" s="1808">
        <f t="shared" si="11"/>
        <v>111</v>
      </c>
      <c r="R31" s="772" t="s">
        <v>21</v>
      </c>
      <c r="S31" s="773">
        <f t="shared" si="12"/>
        <v>100</v>
      </c>
      <c r="T31" s="772" t="s">
        <v>21</v>
      </c>
      <c r="U31" s="773">
        <f t="shared" si="13"/>
        <v>100</v>
      </c>
      <c r="V31" s="772" t="s">
        <v>21</v>
      </c>
      <c r="W31" s="773">
        <f t="shared" si="14"/>
        <v>100</v>
      </c>
      <c r="X31" s="1811"/>
      <c r="Y31" s="3236"/>
      <c r="Z31" s="1812">
        <f t="shared" si="18"/>
        <v>111</v>
      </c>
      <c r="AA31" s="1809">
        <f t="shared" si="15"/>
        <v>1</v>
      </c>
      <c r="AB31" s="1809">
        <f t="shared" si="16"/>
        <v>1</v>
      </c>
      <c r="AC31" s="1809">
        <f t="shared" si="17"/>
        <v>1</v>
      </c>
    </row>
    <row r="32" spans="1:29" ht="15">
      <c r="A32" s="439" t="s">
        <v>2563</v>
      </c>
      <c r="B32" s="70" t="s">
        <v>2564</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38"/>
      <c r="M32" s="1129"/>
      <c r="N32" s="1129"/>
      <c r="O32" s="1129"/>
      <c r="P32" s="3237" t="s">
        <v>2565</v>
      </c>
      <c r="Q32" s="1808" t="str">
        <f t="shared" si="11"/>
        <v>建筑类型</v>
      </c>
      <c r="R32" s="772" t="s">
        <v>21</v>
      </c>
      <c r="S32" s="773">
        <f t="shared" si="12"/>
        <v>100</v>
      </c>
      <c r="T32" s="772" t="s">
        <v>21</v>
      </c>
      <c r="U32" s="773">
        <f t="shared" si="13"/>
        <v>100</v>
      </c>
      <c r="V32" s="772" t="s">
        <v>21</v>
      </c>
      <c r="W32" s="773">
        <f t="shared" si="14"/>
        <v>100</v>
      </c>
      <c r="X32" s="1811"/>
      <c r="Y32" s="3240" t="s">
        <v>2565</v>
      </c>
      <c r="Z32" s="1812" t="str">
        <f t="shared" si="18"/>
        <v>建筑类型</v>
      </c>
      <c r="AA32" s="1809">
        <f t="shared" si="15"/>
        <v>1</v>
      </c>
      <c r="AB32" s="1809">
        <f t="shared" si="16"/>
        <v>1</v>
      </c>
      <c r="AC32" s="1809">
        <f t="shared" si="17"/>
        <v>1</v>
      </c>
    </row>
    <row r="33" spans="1:29" s="470" customFormat="1" ht="15">
      <c r="A33" s="467"/>
      <c r="B33" s="421" t="s">
        <v>2566</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3"/>
      <c r="L33" s="1136"/>
      <c r="M33" s="1139"/>
      <c r="N33" s="1139"/>
      <c r="O33" s="1139"/>
      <c r="P33" s="3238"/>
      <c r="Q33" s="774" t="str">
        <f t="shared" si="11"/>
        <v>项目建筑规模</v>
      </c>
      <c r="R33" s="775" t="s">
        <v>21</v>
      </c>
      <c r="S33" s="776">
        <f t="shared" si="12"/>
        <v>100</v>
      </c>
      <c r="T33" s="775" t="s">
        <v>21</v>
      </c>
      <c r="U33" s="776">
        <f t="shared" si="13"/>
        <v>100</v>
      </c>
      <c r="V33" s="775" t="s">
        <v>21</v>
      </c>
      <c r="W33" s="776">
        <f t="shared" si="14"/>
        <v>100</v>
      </c>
      <c r="X33" s="777"/>
      <c r="Y33" s="3240"/>
      <c r="Z33" s="778" t="str">
        <f t="shared" si="18"/>
        <v>项目建筑规模</v>
      </c>
      <c r="AA33" s="1809">
        <f t="shared" si="15"/>
        <v>1</v>
      </c>
      <c r="AB33" s="1809">
        <f t="shared" si="16"/>
        <v>1</v>
      </c>
      <c r="AC33" s="1809">
        <f t="shared" si="17"/>
        <v>1</v>
      </c>
    </row>
    <row r="34" spans="1:29" ht="15">
      <c r="A34" s="471"/>
      <c r="B34" s="421" t="s">
        <v>2567</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38"/>
      <c r="M34" s="1129"/>
      <c r="N34" s="1129"/>
      <c r="O34" s="1129"/>
      <c r="P34" s="3238"/>
      <c r="Q34" s="1808" t="str">
        <f t="shared" si="11"/>
        <v>建筑结构</v>
      </c>
      <c r="R34" s="772" t="s">
        <v>21</v>
      </c>
      <c r="S34" s="773">
        <f t="shared" si="12"/>
        <v>100</v>
      </c>
      <c r="T34" s="772" t="s">
        <v>21</v>
      </c>
      <c r="U34" s="773">
        <f t="shared" si="13"/>
        <v>100</v>
      </c>
      <c r="V34" s="772" t="s">
        <v>21</v>
      </c>
      <c r="W34" s="773">
        <f t="shared" si="14"/>
        <v>100</v>
      </c>
      <c r="X34" s="1811"/>
      <c r="Y34" s="3240"/>
      <c r="Z34" s="1812" t="str">
        <f t="shared" si="18"/>
        <v>建筑结构</v>
      </c>
      <c r="AA34" s="1809">
        <f t="shared" si="15"/>
        <v>1</v>
      </c>
      <c r="AB34" s="1809">
        <f t="shared" si="16"/>
        <v>1</v>
      </c>
      <c r="AC34" s="1809">
        <f t="shared" si="17"/>
        <v>1</v>
      </c>
    </row>
    <row r="35" spans="1:29" ht="15">
      <c r="A35" s="471"/>
      <c r="B35" s="421" t="s">
        <v>2568</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38"/>
      <c r="M35" s="1129"/>
      <c r="N35" s="1129"/>
      <c r="O35" s="1129"/>
      <c r="P35" s="3238"/>
      <c r="Q35" s="1808" t="str">
        <f t="shared" si="11"/>
        <v>建筑品质</v>
      </c>
      <c r="R35" s="772" t="s">
        <v>21</v>
      </c>
      <c r="S35" s="773">
        <f t="shared" si="12"/>
        <v>100</v>
      </c>
      <c r="T35" s="772" t="s">
        <v>21</v>
      </c>
      <c r="U35" s="773">
        <f t="shared" si="13"/>
        <v>100</v>
      </c>
      <c r="V35" s="772" t="s">
        <v>21</v>
      </c>
      <c r="W35" s="773">
        <f t="shared" si="14"/>
        <v>100</v>
      </c>
      <c r="X35" s="1811"/>
      <c r="Y35" s="3240"/>
      <c r="Z35" s="1812" t="str">
        <f t="shared" si="18"/>
        <v>建筑品质</v>
      </c>
      <c r="AA35" s="1809">
        <f t="shared" si="15"/>
        <v>1</v>
      </c>
      <c r="AB35" s="1809">
        <f t="shared" si="16"/>
        <v>1</v>
      </c>
      <c r="AC35" s="1809">
        <f t="shared" si="17"/>
        <v>1</v>
      </c>
    </row>
    <row r="36" spans="1:29" ht="15">
      <c r="A36" s="471"/>
      <c r="B36" s="421" t="s">
        <v>2569</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38"/>
      <c r="M36" s="1129"/>
      <c r="N36" s="1129"/>
      <c r="O36" s="1129"/>
      <c r="P36" s="3238"/>
      <c r="Q36" s="1808" t="str">
        <f t="shared" si="11"/>
        <v>公共部分装修</v>
      </c>
      <c r="R36" s="772" t="s">
        <v>21</v>
      </c>
      <c r="S36" s="773">
        <f t="shared" si="12"/>
        <v>100</v>
      </c>
      <c r="T36" s="772" t="s">
        <v>21</v>
      </c>
      <c r="U36" s="773">
        <f t="shared" si="13"/>
        <v>100</v>
      </c>
      <c r="V36" s="772" t="s">
        <v>21</v>
      </c>
      <c r="W36" s="773">
        <f t="shared" si="14"/>
        <v>100</v>
      </c>
      <c r="X36" s="1811"/>
      <c r="Y36" s="3240"/>
      <c r="Z36" s="1812" t="str">
        <f t="shared" si="18"/>
        <v>公共部分装修</v>
      </c>
      <c r="AA36" s="1809">
        <f t="shared" si="15"/>
        <v>1</v>
      </c>
      <c r="AB36" s="1809">
        <f t="shared" si="16"/>
        <v>1</v>
      </c>
      <c r="AC36" s="1809">
        <f t="shared" si="17"/>
        <v>1</v>
      </c>
    </row>
    <row r="37" spans="1:29" s="116" customFormat="1" ht="15">
      <c r="A37" s="472"/>
      <c r="B37" s="421" t="s">
        <v>2570</v>
      </c>
      <c r="C37" s="473">
        <f>'数据-取费表'!Y7</f>
        <v>0</v>
      </c>
      <c r="D37" s="135">
        <v>100</v>
      </c>
      <c r="E37" s="473">
        <f>C37</f>
        <v>0</v>
      </c>
      <c r="F37" s="424" t="e">
        <f>LOOKUP(E37,112:112,113:113)-LOOKUP(C37,112:112,113:113)+100</f>
        <v>#N/A</v>
      </c>
      <c r="G37" s="475">
        <f>C37</f>
        <v>0</v>
      </c>
      <c r="H37" s="135" t="e">
        <f>LOOKUP(G37,112:112,113:113)-LOOKUP(C37,112:112,113:113)+100</f>
        <v>#N/A</v>
      </c>
      <c r="I37" s="474">
        <f>C37</f>
        <v>0</v>
      </c>
      <c r="J37" s="135" t="e">
        <f>LOOKUP(I37,112:112,113:113)-LOOKUP(C37,112:112,113:113)+100</f>
        <v>#N/A</v>
      </c>
      <c r="K37" s="425"/>
      <c r="L37" s="1130"/>
      <c r="M37" s="1131"/>
      <c r="N37" s="1131"/>
      <c r="O37" s="1131"/>
      <c r="P37" s="3238"/>
      <c r="Q37" s="1793" t="str">
        <f t="shared" si="11"/>
        <v>成新度</v>
      </c>
      <c r="R37" s="768" t="s">
        <v>21</v>
      </c>
      <c r="S37" s="769" t="e">
        <f t="shared" si="12"/>
        <v>#N/A</v>
      </c>
      <c r="T37" s="768" t="s">
        <v>21</v>
      </c>
      <c r="U37" s="769" t="e">
        <f t="shared" si="13"/>
        <v>#N/A</v>
      </c>
      <c r="V37" s="768" t="s">
        <v>21</v>
      </c>
      <c r="W37" s="769" t="e">
        <f t="shared" si="14"/>
        <v>#N/A</v>
      </c>
      <c r="X37" s="770"/>
      <c r="Y37" s="3240"/>
      <c r="Z37" s="54" t="str">
        <f t="shared" si="18"/>
        <v>成新度</v>
      </c>
      <c r="AA37" s="771" t="e">
        <f t="shared" si="15"/>
        <v>#N/A</v>
      </c>
      <c r="AB37" s="771" t="e">
        <f t="shared" si="16"/>
        <v>#N/A</v>
      </c>
      <c r="AC37" s="771" t="e">
        <f t="shared" si="17"/>
        <v>#N/A</v>
      </c>
    </row>
    <row r="38" spans="1:29" ht="15">
      <c r="A38" s="471"/>
      <c r="B38" s="421" t="s">
        <v>2571</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38"/>
      <c r="M38" s="1129"/>
      <c r="N38" s="1129"/>
      <c r="O38" s="1129"/>
      <c r="P38" s="3238" t="s">
        <v>2565</v>
      </c>
      <c r="Q38" s="1808" t="str">
        <f t="shared" si="11"/>
        <v>物业管理</v>
      </c>
      <c r="R38" s="772" t="s">
        <v>21</v>
      </c>
      <c r="S38" s="773">
        <f t="shared" si="12"/>
        <v>100</v>
      </c>
      <c r="T38" s="772" t="s">
        <v>21</v>
      </c>
      <c r="U38" s="773">
        <f t="shared" si="13"/>
        <v>100</v>
      </c>
      <c r="V38" s="772" t="s">
        <v>21</v>
      </c>
      <c r="W38" s="773">
        <f t="shared" si="14"/>
        <v>100</v>
      </c>
      <c r="X38" s="1811"/>
      <c r="Y38" s="3240" t="s">
        <v>2565</v>
      </c>
      <c r="Z38" s="1812" t="str">
        <f t="shared" si="18"/>
        <v>物业管理</v>
      </c>
      <c r="AA38" s="1809">
        <f t="shared" si="15"/>
        <v>1</v>
      </c>
      <c r="AB38" s="1809">
        <f t="shared" si="16"/>
        <v>1</v>
      </c>
      <c r="AC38" s="1809">
        <f t="shared" si="17"/>
        <v>1</v>
      </c>
    </row>
    <row r="39" spans="1:29" ht="15">
      <c r="A39" s="471"/>
      <c r="B39" s="421" t="s">
        <v>2572</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38"/>
      <c r="M39" s="1129"/>
      <c r="N39" s="1129"/>
      <c r="O39" s="1129"/>
      <c r="P39" s="3238"/>
      <c r="Q39" s="1808" t="str">
        <f t="shared" si="11"/>
        <v>市政基础设施</v>
      </c>
      <c r="R39" s="772" t="s">
        <v>21</v>
      </c>
      <c r="S39" s="773">
        <f t="shared" si="12"/>
        <v>100</v>
      </c>
      <c r="T39" s="772" t="s">
        <v>21</v>
      </c>
      <c r="U39" s="773">
        <f t="shared" si="13"/>
        <v>100</v>
      </c>
      <c r="V39" s="772" t="s">
        <v>21</v>
      </c>
      <c r="W39" s="773">
        <f t="shared" si="14"/>
        <v>100</v>
      </c>
      <c r="X39" s="1811"/>
      <c r="Y39" s="3240"/>
      <c r="Z39" s="1812" t="str">
        <f t="shared" si="18"/>
        <v>市政基础设施</v>
      </c>
      <c r="AA39" s="1809">
        <f t="shared" si="15"/>
        <v>1</v>
      </c>
      <c r="AB39" s="1809">
        <f t="shared" si="16"/>
        <v>1</v>
      </c>
      <c r="AC39" s="1809">
        <f t="shared" si="17"/>
        <v>1</v>
      </c>
    </row>
    <row r="40" spans="1:29" ht="15">
      <c r="A40" s="471"/>
      <c r="B40" s="421" t="s">
        <v>2573</v>
      </c>
      <c r="C40" s="2615" t="s">
        <v>3068</v>
      </c>
      <c r="D40" s="434">
        <v>100</v>
      </c>
      <c r="E40" s="2616" t="s">
        <v>3070</v>
      </c>
      <c r="F40" s="460">
        <f>SUMIF(118:118,E40,119:119)-SUMIF(118:118,C40,119:119)+100</f>
        <v>98</v>
      </c>
      <c r="G40" s="2615" t="s">
        <v>3070</v>
      </c>
      <c r="H40" s="434">
        <f>SUMIF(118:118,G40,119:119)-SUMIF(118:118,C40,119:119)+100</f>
        <v>98</v>
      </c>
      <c r="I40" s="2616" t="s">
        <v>3070</v>
      </c>
      <c r="J40" s="434">
        <f>SUMIF(118:118,I40,119:119)-SUMIF(118:118,C40,119:119)+100</f>
        <v>98</v>
      </c>
      <c r="K40" s="425">
        <v>2</v>
      </c>
      <c r="L40" s="1138"/>
      <c r="M40" s="1129"/>
      <c r="N40" s="1129"/>
      <c r="O40" s="1129"/>
      <c r="P40" s="3238"/>
      <c r="Q40" s="1808" t="str">
        <f t="shared" si="11"/>
        <v>房型</v>
      </c>
      <c r="R40" s="772" t="s">
        <v>21</v>
      </c>
      <c r="S40" s="773">
        <f t="shared" si="12"/>
        <v>98</v>
      </c>
      <c r="T40" s="772" t="s">
        <v>21</v>
      </c>
      <c r="U40" s="773">
        <f t="shared" si="13"/>
        <v>98</v>
      </c>
      <c r="V40" s="772" t="s">
        <v>21</v>
      </c>
      <c r="W40" s="773">
        <f t="shared" si="14"/>
        <v>98</v>
      </c>
      <c r="X40" s="1811"/>
      <c r="Y40" s="3240"/>
      <c r="Z40" s="1812" t="str">
        <f t="shared" si="18"/>
        <v>房型</v>
      </c>
      <c r="AA40" s="1809">
        <f t="shared" si="15"/>
        <v>1.0204081632653061</v>
      </c>
      <c r="AB40" s="1809">
        <f t="shared" si="16"/>
        <v>1.0204081632653061</v>
      </c>
      <c r="AC40" s="1809">
        <f t="shared" si="17"/>
        <v>1.0204081632653061</v>
      </c>
    </row>
    <row r="41" spans="1:29" s="470" customFormat="1" ht="28.5">
      <c r="A41" s="467"/>
      <c r="B41" s="421" t="s">
        <v>2574</v>
      </c>
      <c r="C41" s="468">
        <f>'数据-基础表'!K18</f>
        <v>0</v>
      </c>
      <c r="D41" s="135">
        <v>100</v>
      </c>
      <c r="E41" s="429">
        <v>111.49</v>
      </c>
      <c r="F41" s="424">
        <f>SUMIF(120:120,E41,121:121)-SUMIF(120:120,C41,121:121)+100</f>
        <v>100</v>
      </c>
      <c r="G41" s="428">
        <v>111.48</v>
      </c>
      <c r="H41" s="135">
        <f>SUMIF(120:120,G41,121:121)-SUMIF(120:120,C41,121:121)+100</f>
        <v>100</v>
      </c>
      <c r="I41" s="476">
        <v>111.49</v>
      </c>
      <c r="J41" s="434">
        <f>SUMIF(120:120,I41,121:121)-SUMIF(120:120,C41,121:121)+100</f>
        <v>100</v>
      </c>
      <c r="K41" s="2603"/>
      <c r="L41" s="1136"/>
      <c r="M41" s="1139"/>
      <c r="N41" s="1139"/>
      <c r="O41" s="1139"/>
      <c r="P41" s="3238"/>
      <c r="Q41" s="774" t="str">
        <f t="shared" si="11"/>
        <v>单套/主力户型建筑面积</v>
      </c>
      <c r="R41" s="775" t="s">
        <v>21</v>
      </c>
      <c r="S41" s="776">
        <f t="shared" si="12"/>
        <v>100</v>
      </c>
      <c r="T41" s="775" t="s">
        <v>21</v>
      </c>
      <c r="U41" s="776">
        <f t="shared" si="13"/>
        <v>100</v>
      </c>
      <c r="V41" s="775" t="s">
        <v>21</v>
      </c>
      <c r="W41" s="776">
        <f t="shared" si="14"/>
        <v>100</v>
      </c>
      <c r="X41" s="777"/>
      <c r="Y41" s="3240"/>
      <c r="Z41" s="778" t="str">
        <f t="shared" si="18"/>
        <v>单套/主力户型建筑面积</v>
      </c>
      <c r="AA41" s="1809">
        <f t="shared" si="15"/>
        <v>1</v>
      </c>
      <c r="AB41" s="1809">
        <f t="shared" si="16"/>
        <v>1</v>
      </c>
      <c r="AC41" s="1809">
        <f t="shared" si="17"/>
        <v>1</v>
      </c>
    </row>
    <row r="42" spans="1:29" ht="15">
      <c r="A42" s="471"/>
      <c r="B42" s="421" t="s">
        <v>2575</v>
      </c>
      <c r="C42" s="2615" t="s">
        <v>3072</v>
      </c>
      <c r="D42" s="434">
        <v>100</v>
      </c>
      <c r="E42" s="2616" t="s">
        <v>3072</v>
      </c>
      <c r="F42" s="460">
        <f>SUMIF(122:122,E42,123:123)-SUMIF(122:122,C42,123:123)+100</f>
        <v>100</v>
      </c>
      <c r="G42" s="2615" t="s">
        <v>3075</v>
      </c>
      <c r="H42" s="434">
        <f>SUMIF(122:122,G42,123:123)-SUMIF(122:122,C42,123:123)+100</f>
        <v>98</v>
      </c>
      <c r="I42" s="2616" t="s">
        <v>3075</v>
      </c>
      <c r="J42" s="434">
        <f>SUMIF(122:122,I42,123:123)-SUMIF(122:122,C42,123:123)+100</f>
        <v>98</v>
      </c>
      <c r="K42" s="425">
        <v>1</v>
      </c>
      <c r="L42" s="1138"/>
      <c r="M42" s="1129"/>
      <c r="N42" s="1129"/>
      <c r="O42" s="1129"/>
      <c r="P42" s="3238"/>
      <c r="Q42" s="1808" t="str">
        <f t="shared" si="11"/>
        <v>内部装修</v>
      </c>
      <c r="R42" s="772" t="s">
        <v>21</v>
      </c>
      <c r="S42" s="773">
        <f t="shared" si="12"/>
        <v>100</v>
      </c>
      <c r="T42" s="772" t="s">
        <v>21</v>
      </c>
      <c r="U42" s="773">
        <f t="shared" si="13"/>
        <v>98</v>
      </c>
      <c r="V42" s="772" t="s">
        <v>21</v>
      </c>
      <c r="W42" s="773">
        <f t="shared" si="14"/>
        <v>98</v>
      </c>
      <c r="X42" s="1811"/>
      <c r="Y42" s="3240"/>
      <c r="Z42" s="1812" t="str">
        <f t="shared" si="18"/>
        <v>内部装修</v>
      </c>
      <c r="AA42" s="1809">
        <f t="shared" si="15"/>
        <v>1</v>
      </c>
      <c r="AB42" s="1809">
        <f t="shared" si="16"/>
        <v>1.0204081632653061</v>
      </c>
      <c r="AC42" s="1809">
        <f t="shared" si="17"/>
        <v>1.0204081632653061</v>
      </c>
    </row>
    <row r="43" spans="1:29" ht="15">
      <c r="A43" s="471"/>
      <c r="B43" s="421" t="s">
        <v>2576</v>
      </c>
      <c r="C43" s="2615" t="s">
        <v>3078</v>
      </c>
      <c r="D43" s="434">
        <v>100</v>
      </c>
      <c r="E43" s="2616" t="s">
        <v>3078</v>
      </c>
      <c r="F43" s="460">
        <f>SUMIF(124:124,E43,125:125)-SUMIF(124:124,C43,125:125)+100</f>
        <v>100</v>
      </c>
      <c r="G43" s="2615" t="s">
        <v>3078</v>
      </c>
      <c r="H43" s="434">
        <f>SUMIF(124:124,G43,125:125)-SUMIF(124:124,C43,125:125)+100</f>
        <v>100</v>
      </c>
      <c r="I43" s="2616" t="s">
        <v>3078</v>
      </c>
      <c r="J43" s="434">
        <f>SUMIF(124:124,I43,125:125)-SUMIF(124:124,C43,125:125)+100</f>
        <v>100</v>
      </c>
      <c r="K43" s="425">
        <v>2</v>
      </c>
      <c r="L43" s="1138"/>
      <c r="M43" s="1129"/>
      <c r="N43" s="1129"/>
      <c r="O43" s="1129"/>
      <c r="P43" s="3238"/>
      <c r="Q43" s="1808" t="str">
        <f t="shared" si="11"/>
        <v>内部装修维护情况</v>
      </c>
      <c r="R43" s="772" t="s">
        <v>21</v>
      </c>
      <c r="S43" s="773">
        <f t="shared" si="12"/>
        <v>100</v>
      </c>
      <c r="T43" s="772" t="s">
        <v>21</v>
      </c>
      <c r="U43" s="773">
        <f t="shared" si="13"/>
        <v>100</v>
      </c>
      <c r="V43" s="772" t="s">
        <v>21</v>
      </c>
      <c r="W43" s="773">
        <f t="shared" si="14"/>
        <v>100</v>
      </c>
      <c r="X43" s="1811"/>
      <c r="Y43" s="3240"/>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0"/>
      <c r="M44" s="1131"/>
      <c r="N44" s="1131"/>
      <c r="O44" s="1131"/>
      <c r="P44" s="3238"/>
      <c r="Q44" s="1793">
        <f t="shared" si="11"/>
        <v>111</v>
      </c>
      <c r="R44" s="768" t="s">
        <v>21</v>
      </c>
      <c r="S44" s="769">
        <f t="shared" si="12"/>
        <v>100</v>
      </c>
      <c r="T44" s="768" t="s">
        <v>21</v>
      </c>
      <c r="U44" s="769">
        <f t="shared" si="13"/>
        <v>100</v>
      </c>
      <c r="V44" s="768" t="s">
        <v>21</v>
      </c>
      <c r="W44" s="769">
        <f t="shared" si="14"/>
        <v>100</v>
      </c>
      <c r="X44" s="770"/>
      <c r="Y44" s="3240"/>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38"/>
      <c r="M45" s="1129"/>
      <c r="N45" s="1129"/>
      <c r="O45" s="1129"/>
      <c r="P45" s="3238"/>
      <c r="Q45" s="1808">
        <f t="shared" si="11"/>
        <v>111</v>
      </c>
      <c r="R45" s="772" t="s">
        <v>21</v>
      </c>
      <c r="S45" s="773">
        <f t="shared" si="12"/>
        <v>100</v>
      </c>
      <c r="T45" s="772" t="s">
        <v>21</v>
      </c>
      <c r="U45" s="773">
        <f t="shared" si="13"/>
        <v>100</v>
      </c>
      <c r="V45" s="772" t="s">
        <v>21</v>
      </c>
      <c r="W45" s="773">
        <f t="shared" si="14"/>
        <v>100</v>
      </c>
      <c r="X45" s="1811"/>
      <c r="Y45" s="3240"/>
      <c r="Z45" s="1812">
        <f t="shared" si="18"/>
        <v>111</v>
      </c>
      <c r="AA45" s="1809">
        <f t="shared" si="15"/>
        <v>1</v>
      </c>
      <c r="AB45" s="1809">
        <f t="shared" si="16"/>
        <v>1</v>
      </c>
      <c r="AC45" s="1809">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38"/>
      <c r="M46" s="1129"/>
      <c r="N46" s="1129"/>
      <c r="O46" s="1129"/>
      <c r="P46" s="3239"/>
      <c r="Q46" s="1808">
        <f t="shared" si="11"/>
        <v>111</v>
      </c>
      <c r="R46" s="772" t="s">
        <v>20</v>
      </c>
      <c r="S46" s="773">
        <f t="shared" si="12"/>
        <v>100</v>
      </c>
      <c r="T46" s="772" t="s">
        <v>20</v>
      </c>
      <c r="U46" s="773">
        <f t="shared" si="13"/>
        <v>100</v>
      </c>
      <c r="V46" s="772" t="s">
        <v>20</v>
      </c>
      <c r="W46" s="773">
        <f t="shared" si="14"/>
        <v>100</v>
      </c>
      <c r="X46" s="1811"/>
      <c r="Y46" s="3241"/>
      <c r="Z46" s="1812">
        <f t="shared" si="18"/>
        <v>111</v>
      </c>
      <c r="AA46" s="1809">
        <f t="shared" si="15"/>
        <v>1</v>
      </c>
      <c r="AB46" s="1809">
        <f t="shared" si="16"/>
        <v>1</v>
      </c>
      <c r="AC46" s="1809">
        <f t="shared" si="17"/>
        <v>1</v>
      </c>
    </row>
    <row r="47" spans="1:29" ht="15">
      <c r="A47" s="478" t="s">
        <v>2577</v>
      </c>
      <c r="B47" s="479"/>
      <c r="C47" s="1405" t="s">
        <v>19</v>
      </c>
      <c r="D47" s="1406"/>
      <c r="E47" s="1407">
        <v>66464</v>
      </c>
      <c r="F47" s="1408"/>
      <c r="G47" s="1409">
        <v>68174</v>
      </c>
      <c r="H47" s="1410"/>
      <c r="I47" s="1407">
        <v>67271</v>
      </c>
      <c r="J47" s="1410"/>
      <c r="K47" s="2623"/>
      <c r="L47" s="1141"/>
      <c r="M47" s="1142"/>
      <c r="N47" s="1129"/>
      <c r="O47" s="1142"/>
      <c r="P47" s="3242" t="str">
        <f>A47</f>
        <v>成交单价（元/平方米）</v>
      </c>
      <c r="Q47" s="3242"/>
      <c r="R47" s="3243">
        <f>E47</f>
        <v>66464</v>
      </c>
      <c r="S47" s="3243"/>
      <c r="T47" s="3243">
        <f>G47</f>
        <v>68174</v>
      </c>
      <c r="U47" s="3243"/>
      <c r="V47" s="3243">
        <f>I47</f>
        <v>67271</v>
      </c>
      <c r="W47" s="3243"/>
      <c r="X47" s="757"/>
      <c r="Y47" s="779"/>
      <c r="Z47" s="757"/>
      <c r="AA47" s="757"/>
      <c r="AB47" s="757"/>
      <c r="AC47" s="757"/>
    </row>
    <row r="48" spans="1:29" ht="15.75" thickBot="1">
      <c r="A48" s="485" t="s">
        <v>2578</v>
      </c>
      <c r="B48" s="486"/>
      <c r="C48" s="1411" t="e">
        <f>R49</f>
        <v>#N/A</v>
      </c>
      <c r="D48" s="1412"/>
      <c r="E48" s="1413" t="e">
        <f>R48</f>
        <v>#N/A</v>
      </c>
      <c r="F48" s="1413"/>
      <c r="G48" s="1411" t="e">
        <f>T48</f>
        <v>#N/A</v>
      </c>
      <c r="H48" s="1412"/>
      <c r="I48" s="1413" t="e">
        <f>V48</f>
        <v>#N/A</v>
      </c>
      <c r="J48" s="1412"/>
      <c r="K48" s="2624"/>
      <c r="L48" s="1141"/>
      <c r="M48" s="1142"/>
      <c r="N48" s="1142"/>
      <c r="O48" s="1142"/>
      <c r="P48" s="3242" t="str">
        <f>A48</f>
        <v>比较价值（元/平方米）</v>
      </c>
      <c r="Q48" s="3242"/>
      <c r="R48" s="3243" t="e">
        <f>IF(F1="售价",ROUND(PRODUCT(R47,AA7:AA46),0),ROUND(PRODUCT(R47,AA7:AA46),1))</f>
        <v>#N/A</v>
      </c>
      <c r="S48" s="3243"/>
      <c r="T48" s="3243" t="e">
        <f>IF(F1="售价",ROUND(PRODUCT(T47,AB7:AB46),0),ROUND(PRODUCT(T47,AB7:AB46),1))</f>
        <v>#N/A</v>
      </c>
      <c r="U48" s="3243"/>
      <c r="V48" s="3243" t="e">
        <f>IF(F1="售价",ROUND(PRODUCT(V47,AC7:AC46),0),ROUND(PRODUCT(V47,AC7:AC46),1))</f>
        <v>#N/A</v>
      </c>
      <c r="W48" s="3243"/>
      <c r="X48" s="757"/>
      <c r="Y48" s="757"/>
      <c r="Z48" s="757"/>
      <c r="AA48" s="757"/>
      <c r="AB48" s="757"/>
      <c r="AC48" s="757"/>
    </row>
    <row r="49" spans="1:29" ht="15.75" thickBot="1">
      <c r="A49" s="491" t="s">
        <v>2579</v>
      </c>
      <c r="B49" s="492"/>
      <c r="C49" s="1414" t="e">
        <f>R49</f>
        <v>#N/A</v>
      </c>
      <c r="D49" s="1415"/>
      <c r="E49" s="1415"/>
      <c r="F49" s="1415"/>
      <c r="G49" s="1415"/>
      <c r="H49" s="1415"/>
      <c r="I49" s="1415"/>
      <c r="J49" s="1415"/>
      <c r="K49" s="2625"/>
      <c r="L49" s="1141"/>
      <c r="M49" s="1142"/>
      <c r="N49" s="1142"/>
      <c r="O49" s="1142"/>
      <c r="P49" s="3244" t="str">
        <f>A49</f>
        <v>估价对象XX用房的比较价值（楼面单价，元/平方米）</v>
      </c>
      <c r="Q49" s="3245"/>
      <c r="R49" s="3246" t="e">
        <f>IF(F1="售价",ROUND(AVERAGE(R48:V48),0),ROUND(AVERAGE(R48:V48),1))</f>
        <v>#N/A</v>
      </c>
      <c r="S49" s="3246"/>
      <c r="T49" s="3246"/>
      <c r="U49" s="3246"/>
      <c r="V49" s="3246"/>
      <c r="W49" s="324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t="e">
        <f>IF(E47&lt;E48,E48/E47-1,E47/E48-1)</f>
        <v>#N/A</v>
      </c>
      <c r="F52" s="499" t="e">
        <f>IF(OR(E52&gt;=0.3,E52&lt;=-0.3),"超过30%","")</f>
        <v>#N/A</v>
      </c>
      <c r="G52" s="498" t="e">
        <f>IF(G47&lt;G48,G48/G47-1,G47/G48-1)</f>
        <v>#N/A</v>
      </c>
      <c r="H52" s="499" t="e">
        <f>IF(OR(G52&gt;=0.3,G52&lt;=-0.3),"超过30%","")</f>
        <v>#N/A</v>
      </c>
      <c r="I52" s="498" t="e">
        <f>IF(I47&lt;I48,I48/I47-1,I47/I48-1)</f>
        <v>#N/A</v>
      </c>
      <c r="J52" s="499" t="e">
        <f>IF(OR(I52&gt;=0.3,I52&lt;=-0.3),"超过30%","")</f>
        <v>#N/A</v>
      </c>
      <c r="K52" s="1103"/>
      <c r="L52" s="1104"/>
      <c r="M52" s="1142"/>
      <c r="N52" s="1142"/>
      <c r="O52" s="1142"/>
    </row>
    <row r="53" spans="1:29" ht="13.5" customHeight="1">
      <c r="A53" s="1142"/>
      <c r="B53" s="1142"/>
      <c r="C53" s="496" t="s">
        <v>2581</v>
      </c>
      <c r="D53" s="500"/>
      <c r="E53" s="498" t="e">
        <f>IF(E48&lt;G48,G48/E48-1,E48/G48-1)</f>
        <v>#N/A</v>
      </c>
      <c r="F53" s="499" t="e">
        <f>IF(OR(E53&gt;=0.2,E53&lt;=-0.2),"超过20%","")</f>
        <v>#N/A</v>
      </c>
      <c r="G53" s="498" t="e">
        <f>IF(G48&lt;I48,I48/G48-1,G48/I48-1)</f>
        <v>#N/A</v>
      </c>
      <c r="H53" s="499" t="e">
        <f>IF(OR(G53&gt;=0.2,G53&lt;=-0.2),"超过20%","")</f>
        <v>#N/A</v>
      </c>
      <c r="I53" s="498" t="e">
        <f>IF(I48&lt;E48,E48/I48-1,I48/E48-1)</f>
        <v>#N/A</v>
      </c>
      <c r="J53" s="499" t="e">
        <f>IF(OR(I53&gt;=0.2,I53&lt;=-0.2),"超过20%","")</f>
        <v>#N/A</v>
      </c>
      <c r="K53" s="1103"/>
      <c r="L53" s="1104"/>
      <c r="M53" s="1142"/>
      <c r="N53" s="1142"/>
      <c r="O53" s="1142"/>
    </row>
    <row r="54" spans="1:29" s="501" customFormat="1" ht="13.5" customHeight="1">
      <c r="A54" s="1143"/>
      <c r="B54" s="1143"/>
      <c r="C54" s="496" t="s">
        <v>2582</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6"/>
      <c r="L54" s="1147"/>
      <c r="M54" s="1143"/>
      <c r="N54" s="1143"/>
      <c r="O54" s="1143"/>
      <c r="P54" s="2627"/>
    </row>
    <row r="55" spans="1:29" s="501" customFormat="1">
      <c r="A55" s="1143"/>
      <c r="B55" s="1144"/>
      <c r="C55" s="1148"/>
      <c r="D55" s="1143"/>
      <c r="E55" s="1143"/>
      <c r="F55" s="1143"/>
      <c r="G55" s="1143"/>
      <c r="H55" s="1143"/>
      <c r="I55" s="1143"/>
      <c r="J55" s="1143"/>
      <c r="K55" s="1146"/>
      <c r="L55" s="1147"/>
      <c r="M55" s="1143"/>
      <c r="N55" s="1143"/>
      <c r="O55" s="1143"/>
      <c r="P55" s="2627"/>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8"/>
      <c r="Q57" s="503"/>
    </row>
    <row r="58" spans="1:29" s="507" customFormat="1" ht="15">
      <c r="A58" s="504" t="s">
        <v>2584</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9"/>
      <c r="C59" s="1571">
        <v>100</v>
      </c>
      <c r="D59" s="510">
        <v>100</v>
      </c>
      <c r="E59" s="511">
        <v>100</v>
      </c>
      <c r="F59" s="511">
        <v>100</v>
      </c>
      <c r="G59" s="511"/>
      <c r="H59" s="511"/>
      <c r="I59" s="511"/>
      <c r="J59" s="511"/>
      <c r="K59" s="511"/>
      <c r="L59" s="511"/>
      <c r="M59" s="512"/>
      <c r="N59" s="511"/>
      <c r="O59" s="512"/>
      <c r="P59" s="2630"/>
    </row>
    <row r="60" spans="1:29" s="116" customFormat="1" ht="15.75" thickBot="1">
      <c r="A60" s="514" t="s">
        <v>2585</v>
      </c>
      <c r="B60" s="515"/>
      <c r="C60" s="516"/>
      <c r="D60" s="517"/>
      <c r="E60" s="517"/>
      <c r="F60" s="517"/>
      <c r="G60" s="517"/>
      <c r="H60" s="517"/>
      <c r="I60" s="517"/>
      <c r="J60" s="517"/>
      <c r="K60" s="517"/>
      <c r="L60" s="517"/>
      <c r="M60" s="518"/>
      <c r="N60" s="517"/>
      <c r="O60" s="518"/>
      <c r="P60" s="2630"/>
      <c r="Q60" s="503"/>
    </row>
    <row r="61" spans="1:29" s="116" customFormat="1" ht="15">
      <c r="A61" s="520" t="s">
        <v>2586</v>
      </c>
      <c r="B61" s="509"/>
      <c r="C61" s="521" t="s">
        <v>2587</v>
      </c>
      <c r="D61" s="522"/>
      <c r="E61" s="522"/>
      <c r="F61" s="522"/>
      <c r="G61" s="522"/>
      <c r="H61" s="522"/>
      <c r="I61" s="522"/>
      <c r="J61" s="522"/>
      <c r="K61" s="522"/>
      <c r="L61" s="523"/>
      <c r="M61" s="524"/>
      <c r="N61" s="1149"/>
      <c r="O61" s="1149"/>
      <c r="P61" s="2631"/>
      <c r="Q61" s="503"/>
    </row>
    <row r="62" spans="1:29" s="116" customFormat="1" ht="15.75" thickBot="1">
      <c r="A62" s="520"/>
      <c r="B62" s="509"/>
      <c r="C62" s="510">
        <v>100</v>
      </c>
      <c r="D62" s="511"/>
      <c r="E62" s="511"/>
      <c r="F62" s="511"/>
      <c r="G62" s="511"/>
      <c r="H62" s="511"/>
      <c r="I62" s="511"/>
      <c r="J62" s="511"/>
      <c r="K62" s="511"/>
      <c r="L62" s="511"/>
      <c r="M62" s="513"/>
      <c r="N62" s="1149"/>
      <c r="O62" s="1149"/>
      <c r="P62" s="2630"/>
      <c r="Q62" s="503"/>
    </row>
    <row r="63" spans="1:29">
      <c r="A63" s="526" t="s">
        <v>2588</v>
      </c>
      <c r="B63" s="527" t="s">
        <v>2554</v>
      </c>
      <c r="C63" s="528" t="str">
        <f>C9</f>
        <v>公寓</v>
      </c>
      <c r="D63" s="529"/>
      <c r="E63" s="529"/>
      <c r="F63" s="529"/>
      <c r="G63" s="529"/>
      <c r="H63" s="529"/>
      <c r="I63" s="529"/>
      <c r="J63" s="529"/>
      <c r="K63" s="530"/>
      <c r="L63" s="531"/>
      <c r="M63" s="532"/>
      <c r="N63" s="1150"/>
      <c r="O63" s="1150"/>
      <c r="P63" s="2632"/>
      <c r="Q63" s="503"/>
    </row>
    <row r="64" spans="1:29" ht="15.75" thickBot="1">
      <c r="A64" s="533"/>
      <c r="B64" s="534"/>
      <c r="C64" s="535">
        <v>100</v>
      </c>
      <c r="D64" s="535"/>
      <c r="E64" s="535"/>
      <c r="F64" s="535"/>
      <c r="G64" s="535"/>
      <c r="H64" s="535"/>
      <c r="I64" s="535"/>
      <c r="J64" s="535"/>
      <c r="K64" s="535"/>
      <c r="L64" s="535"/>
      <c r="M64" s="536"/>
      <c r="N64" s="1151"/>
      <c r="O64" s="1151"/>
      <c r="P64" s="2632"/>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32"/>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32"/>
      <c r="Q66" s="503"/>
    </row>
    <row r="67" spans="1:17" ht="15.75" thickTop="1">
      <c r="A67" s="533"/>
      <c r="B67" s="545" t="s">
        <v>2558</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2"/>
      <c r="Q67" s="503"/>
    </row>
    <row r="68" spans="1:17" ht="15">
      <c r="A68" s="533"/>
      <c r="B68" s="547"/>
      <c r="C68" s="548">
        <v>1</v>
      </c>
      <c r="D68" s="548">
        <v>2</v>
      </c>
      <c r="E68" s="548">
        <v>3</v>
      </c>
      <c r="F68" s="548"/>
      <c r="G68" s="548"/>
      <c r="H68" s="548"/>
      <c r="I68" s="548"/>
      <c r="J68" s="548"/>
      <c r="K68" s="549"/>
      <c r="L68" s="550"/>
      <c r="M68" s="551"/>
      <c r="N68" s="1150"/>
      <c r="O68" s="1150"/>
      <c r="P68" s="263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32"/>
      <c r="Q69" s="503"/>
    </row>
    <row r="70" spans="1:17" s="470" customFormat="1" ht="15.75" thickTop="1">
      <c r="A70" s="552"/>
      <c r="B70" s="537">
        <f>B12</f>
        <v>111</v>
      </c>
      <c r="C70" s="553"/>
      <c r="D70" s="553"/>
      <c r="E70" s="553"/>
      <c r="F70" s="553"/>
      <c r="G70" s="553"/>
      <c r="H70" s="554"/>
      <c r="I70" s="554"/>
      <c r="J70" s="554"/>
      <c r="K70" s="554"/>
      <c r="L70" s="555"/>
      <c r="M70" s="556"/>
      <c r="N70" s="1152"/>
      <c r="O70" s="1152"/>
      <c r="P70" s="2633"/>
      <c r="Q70" s="558"/>
    </row>
    <row r="71" spans="1:17" s="470" customFormat="1" ht="15.75" thickBot="1">
      <c r="A71" s="552"/>
      <c r="B71" s="542"/>
      <c r="C71" s="559"/>
      <c r="D71" s="535"/>
      <c r="E71" s="535"/>
      <c r="F71" s="535"/>
      <c r="G71" s="535"/>
      <c r="H71" s="535"/>
      <c r="I71" s="535"/>
      <c r="J71" s="535"/>
      <c r="K71" s="535"/>
      <c r="L71" s="535"/>
      <c r="M71" s="536"/>
      <c r="N71" s="1151"/>
      <c r="O71" s="1151"/>
      <c r="P71" s="2633"/>
      <c r="Q71" s="558"/>
    </row>
    <row r="72" spans="1:17" s="470" customFormat="1" ht="15.75" thickTop="1">
      <c r="A72" s="552"/>
      <c r="B72" s="537">
        <f>B13</f>
        <v>111</v>
      </c>
      <c r="C72" s="553"/>
      <c r="D72" s="553"/>
      <c r="E72" s="553"/>
      <c r="F72" s="553"/>
      <c r="G72" s="553"/>
      <c r="H72" s="554"/>
      <c r="I72" s="554"/>
      <c r="J72" s="554"/>
      <c r="K72" s="554"/>
      <c r="L72" s="555"/>
      <c r="M72" s="556"/>
      <c r="N72" s="1152"/>
      <c r="O72" s="1152"/>
      <c r="P72" s="2634"/>
      <c r="Q72" s="560"/>
    </row>
    <row r="73" spans="1:17" s="470" customFormat="1" ht="15.75" thickBot="1">
      <c r="A73" s="552"/>
      <c r="B73" s="542"/>
      <c r="C73" s="559"/>
      <c r="D73" s="559"/>
      <c r="E73" s="559"/>
      <c r="F73" s="559"/>
      <c r="G73" s="559"/>
      <c r="H73" s="561"/>
      <c r="I73" s="561"/>
      <c r="J73" s="561"/>
      <c r="K73" s="561"/>
      <c r="L73" s="561"/>
      <c r="M73" s="562"/>
      <c r="N73" s="1152"/>
      <c r="O73" s="1152"/>
      <c r="P73" s="2633"/>
      <c r="Q73" s="558"/>
    </row>
    <row r="74" spans="1:17" s="470" customFormat="1" ht="15.75" thickTop="1">
      <c r="A74" s="552"/>
      <c r="B74" s="545">
        <f>B14</f>
        <v>111</v>
      </c>
      <c r="C74" s="553"/>
      <c r="D74" s="553"/>
      <c r="E74" s="553"/>
      <c r="F74" s="553"/>
      <c r="G74" s="522"/>
      <c r="H74" s="563"/>
      <c r="I74" s="563"/>
      <c r="J74" s="563"/>
      <c r="K74" s="563"/>
      <c r="L74" s="564"/>
      <c r="M74" s="565"/>
      <c r="N74" s="1152"/>
      <c r="O74" s="1152"/>
      <c r="P74" s="2635"/>
      <c r="Q74" s="558"/>
    </row>
    <row r="75" spans="1:17" s="470" customFormat="1" ht="15.75" thickBot="1">
      <c r="A75" s="567"/>
      <c r="B75" s="568"/>
      <c r="C75" s="569"/>
      <c r="D75" s="569"/>
      <c r="E75" s="569"/>
      <c r="F75" s="569"/>
      <c r="G75" s="569"/>
      <c r="H75" s="570"/>
      <c r="I75" s="570"/>
      <c r="J75" s="570"/>
      <c r="K75" s="570"/>
      <c r="L75" s="570"/>
      <c r="M75" s="571"/>
      <c r="N75" s="1152"/>
      <c r="O75" s="1152"/>
      <c r="P75" s="2633"/>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2"/>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2"/>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2"/>
      <c r="Q81" s="503"/>
    </row>
    <row r="82" spans="1:17" ht="15.75" thickTop="1">
      <c r="A82" s="533"/>
      <c r="B82" s="545" t="s">
        <v>2096</v>
      </c>
      <c r="C82" s="538" t="s">
        <v>2604</v>
      </c>
      <c r="D82" s="538" t="s">
        <v>2605</v>
      </c>
      <c r="E82" s="538" t="s">
        <v>2606</v>
      </c>
      <c r="F82" s="538" t="s">
        <v>2607</v>
      </c>
      <c r="G82" s="538" t="s">
        <v>2608</v>
      </c>
      <c r="H82" s="538"/>
      <c r="I82" s="538"/>
      <c r="J82" s="538"/>
      <c r="K82" s="538"/>
      <c r="L82" s="538"/>
      <c r="M82" s="1380"/>
      <c r="N82" s="1151"/>
      <c r="O82" s="1151"/>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32"/>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2"/>
      <c r="Q85" s="503"/>
    </row>
    <row r="86" spans="1:17" s="116" customFormat="1" ht="15.75" thickTop="1">
      <c r="A86" s="578"/>
      <c r="B86" s="537" t="s">
        <v>2610</v>
      </c>
      <c r="C86" s="553">
        <v>26</v>
      </c>
      <c r="D86" s="553"/>
      <c r="E86" s="553">
        <v>13</v>
      </c>
      <c r="F86" s="553">
        <v>17</v>
      </c>
      <c r="G86" s="553">
        <v>16</v>
      </c>
      <c r="H86" s="553"/>
      <c r="I86" s="553"/>
      <c r="J86" s="553"/>
      <c r="K86" s="553"/>
      <c r="L86" s="579"/>
      <c r="M86" s="580"/>
      <c r="N86" s="1149"/>
      <c r="O86" s="1149"/>
      <c r="P86" s="2632"/>
      <c r="Q86" s="503"/>
    </row>
    <row r="87" spans="1:17" s="116" customFormat="1" ht="15.75" thickBot="1">
      <c r="A87" s="578"/>
      <c r="B87" s="542"/>
      <c r="C87" s="581">
        <v>100</v>
      </c>
      <c r="D87" s="543">
        <f t="shared" ref="D87:M87" si="24">$C$87-($C$86-D86)*$K$25</f>
        <v>87</v>
      </c>
      <c r="E87" s="543">
        <f t="shared" si="24"/>
        <v>93.5</v>
      </c>
      <c r="F87" s="543">
        <f t="shared" si="24"/>
        <v>95.5</v>
      </c>
      <c r="G87" s="543">
        <f t="shared" si="24"/>
        <v>95</v>
      </c>
      <c r="H87" s="543">
        <f t="shared" si="24"/>
        <v>87</v>
      </c>
      <c r="I87" s="543">
        <f t="shared" si="24"/>
        <v>87</v>
      </c>
      <c r="J87" s="543">
        <f t="shared" si="24"/>
        <v>87</v>
      </c>
      <c r="K87" s="543">
        <f t="shared" si="24"/>
        <v>87</v>
      </c>
      <c r="L87" s="543">
        <f t="shared" si="24"/>
        <v>87</v>
      </c>
      <c r="M87" s="543">
        <f t="shared" si="24"/>
        <v>87</v>
      </c>
      <c r="N87" s="1151"/>
      <c r="O87" s="1151"/>
      <c r="P87" s="2632"/>
      <c r="Q87" s="503"/>
    </row>
    <row r="88" spans="1:17" s="116" customFormat="1" ht="15.75" thickTop="1">
      <c r="A88" s="578"/>
      <c r="B88" s="537" t="s">
        <v>2611</v>
      </c>
      <c r="C88" s="2976" t="s">
        <v>3065</v>
      </c>
      <c r="D88" s="553"/>
      <c r="E88" s="2976" t="s">
        <v>3067</v>
      </c>
      <c r="F88" s="2637"/>
      <c r="G88" s="553"/>
      <c r="H88" s="553"/>
      <c r="I88" s="553"/>
      <c r="J88" s="553"/>
      <c r="K88" s="553"/>
      <c r="L88" s="553"/>
      <c r="M88" s="580"/>
      <c r="N88" s="1149"/>
      <c r="O88" s="1149"/>
      <c r="P88" s="2632"/>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1"/>
      <c r="O89" s="1151"/>
      <c r="P89" s="2632"/>
      <c r="Q89" s="503"/>
    </row>
    <row r="90" spans="1:17" s="470" customFormat="1" ht="15.75" thickTop="1">
      <c r="A90" s="552"/>
      <c r="B90" s="537">
        <f>B27</f>
        <v>111</v>
      </c>
      <c r="C90" s="553"/>
      <c r="D90" s="553"/>
      <c r="E90" s="553"/>
      <c r="F90" s="553"/>
      <c r="G90" s="553"/>
      <c r="H90" s="554"/>
      <c r="I90" s="554"/>
      <c r="J90" s="554"/>
      <c r="K90" s="554"/>
      <c r="L90" s="555"/>
      <c r="M90" s="556"/>
      <c r="N90" s="1152"/>
      <c r="O90" s="1152"/>
      <c r="P90" s="2633"/>
      <c r="Q90" s="558"/>
    </row>
    <row r="91" spans="1:17" s="470" customFormat="1" ht="15.75" thickBot="1">
      <c r="A91" s="552"/>
      <c r="B91" s="542"/>
      <c r="C91" s="559"/>
      <c r="D91" s="559"/>
      <c r="E91" s="559"/>
      <c r="F91" s="559"/>
      <c r="G91" s="559"/>
      <c r="H91" s="561"/>
      <c r="I91" s="561"/>
      <c r="J91" s="561"/>
      <c r="K91" s="561"/>
      <c r="L91" s="561"/>
      <c r="M91" s="562"/>
      <c r="N91" s="1152"/>
      <c r="O91" s="1152"/>
      <c r="P91" s="2633"/>
      <c r="Q91" s="558"/>
    </row>
    <row r="92" spans="1:17" ht="15.75" thickTop="1">
      <c r="A92" s="533"/>
      <c r="B92" s="537">
        <f>B28</f>
        <v>111</v>
      </c>
      <c r="C92" s="553"/>
      <c r="D92" s="553"/>
      <c r="E92" s="553"/>
      <c r="F92" s="553"/>
      <c r="G92" s="582"/>
      <c r="H92" s="582"/>
      <c r="I92" s="582"/>
      <c r="J92" s="582"/>
      <c r="K92" s="583"/>
      <c r="L92" s="584"/>
      <c r="M92" s="585"/>
      <c r="N92" s="1150"/>
      <c r="O92" s="1150"/>
      <c r="P92" s="2632"/>
      <c r="Q92" s="503"/>
    </row>
    <row r="93" spans="1:17" ht="15.75" thickBot="1">
      <c r="A93" s="533"/>
      <c r="B93" s="542"/>
      <c r="C93" s="559"/>
      <c r="D93" s="535"/>
      <c r="E93" s="535"/>
      <c r="F93" s="535"/>
      <c r="G93" s="535"/>
      <c r="H93" s="535"/>
      <c r="I93" s="535"/>
      <c r="J93" s="535"/>
      <c r="K93" s="535"/>
      <c r="L93" s="535"/>
      <c r="M93" s="536"/>
      <c r="N93" s="1151"/>
      <c r="O93" s="1151"/>
      <c r="P93" s="2632"/>
      <c r="Q93" s="503"/>
    </row>
    <row r="94" spans="1:17" ht="15.75" thickTop="1">
      <c r="A94" s="533"/>
      <c r="B94" s="537">
        <f>B29</f>
        <v>111</v>
      </c>
      <c r="C94" s="553"/>
      <c r="D94" s="553"/>
      <c r="E94" s="553"/>
      <c r="F94" s="553"/>
      <c r="G94" s="582"/>
      <c r="H94" s="582"/>
      <c r="I94" s="582"/>
      <c r="J94" s="582"/>
      <c r="K94" s="583"/>
      <c r="L94" s="584"/>
      <c r="M94" s="585"/>
      <c r="N94" s="1150"/>
      <c r="O94" s="1150"/>
      <c r="P94" s="2632"/>
      <c r="Q94" s="503"/>
    </row>
    <row r="95" spans="1:17" ht="15.75" thickBot="1">
      <c r="A95" s="533"/>
      <c r="B95" s="542"/>
      <c r="C95" s="559"/>
      <c r="D95" s="559"/>
      <c r="E95" s="559"/>
      <c r="F95" s="559"/>
      <c r="G95" s="535"/>
      <c r="H95" s="535"/>
      <c r="I95" s="535"/>
      <c r="J95" s="535"/>
      <c r="K95" s="535"/>
      <c r="L95" s="535"/>
      <c r="M95" s="536"/>
      <c r="N95" s="1151"/>
      <c r="O95" s="1151"/>
      <c r="P95" s="2632"/>
      <c r="Q95" s="503"/>
    </row>
    <row r="96" spans="1:17" ht="15.75" thickTop="1">
      <c r="A96" s="533"/>
      <c r="B96" s="537">
        <f>B30</f>
        <v>111</v>
      </c>
      <c r="C96" s="553"/>
      <c r="D96" s="553"/>
      <c r="E96" s="553"/>
      <c r="F96" s="553"/>
      <c r="G96" s="582"/>
      <c r="H96" s="582"/>
      <c r="I96" s="582"/>
      <c r="J96" s="582"/>
      <c r="K96" s="583"/>
      <c r="L96" s="584"/>
      <c r="M96" s="585"/>
      <c r="N96" s="1150"/>
      <c r="O96" s="1150"/>
      <c r="P96" s="2632"/>
      <c r="Q96" s="503"/>
    </row>
    <row r="97" spans="1:17" ht="15.75" thickBot="1">
      <c r="A97" s="533"/>
      <c r="B97" s="542"/>
      <c r="C97" s="569"/>
      <c r="D97" s="569"/>
      <c r="E97" s="569"/>
      <c r="F97" s="569"/>
      <c r="G97" s="535"/>
      <c r="H97" s="535"/>
      <c r="I97" s="535"/>
      <c r="J97" s="535"/>
      <c r="K97" s="535"/>
      <c r="L97" s="535"/>
      <c r="M97" s="536"/>
      <c r="N97" s="1151"/>
      <c r="O97" s="1151"/>
      <c r="P97" s="2632"/>
      <c r="Q97" s="503"/>
    </row>
    <row r="98" spans="1:17" ht="15.75" thickTop="1">
      <c r="A98" s="533"/>
      <c r="B98" s="545">
        <f>B31</f>
        <v>111</v>
      </c>
      <c r="C98" s="586"/>
      <c r="D98" s="586"/>
      <c r="E98" s="586"/>
      <c r="F98" s="586"/>
      <c r="G98" s="586"/>
      <c r="H98" s="586"/>
      <c r="I98" s="586"/>
      <c r="J98" s="586"/>
      <c r="K98" s="587"/>
      <c r="L98" s="588"/>
      <c r="M98" s="589"/>
      <c r="N98" s="1150"/>
      <c r="O98" s="1150"/>
      <c r="P98" s="2632"/>
      <c r="Q98" s="503"/>
    </row>
    <row r="99" spans="1:17" ht="15.75" thickBot="1">
      <c r="A99" s="2638"/>
      <c r="B99" s="568"/>
      <c r="C99" s="590"/>
      <c r="D99" s="590"/>
      <c r="E99" s="590"/>
      <c r="F99" s="590"/>
      <c r="G99" s="590"/>
      <c r="H99" s="590"/>
      <c r="I99" s="590"/>
      <c r="J99" s="590"/>
      <c r="K99" s="590"/>
      <c r="L99" s="590"/>
      <c r="M99" s="591"/>
      <c r="N99" s="1151"/>
      <c r="O99" s="1151"/>
      <c r="P99" s="2632"/>
      <c r="Q99" s="503"/>
    </row>
    <row r="100" spans="1:17">
      <c r="A100" s="526" t="s">
        <v>2563</v>
      </c>
      <c r="B100" s="527" t="s">
        <v>2612</v>
      </c>
      <c r="C100" s="529"/>
      <c r="D100" s="529"/>
      <c r="E100" s="529"/>
      <c r="F100" s="529"/>
      <c r="G100" s="529"/>
      <c r="H100" s="529"/>
      <c r="I100" s="529"/>
      <c r="J100" s="529"/>
      <c r="K100" s="530"/>
      <c r="L100" s="531"/>
      <c r="M100" s="532"/>
      <c r="N100" s="1150"/>
      <c r="O100" s="1150"/>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32"/>
      <c r="Q101" s="503"/>
    </row>
    <row r="102" spans="1:17" ht="29.25" thickTop="1">
      <c r="A102" s="533"/>
      <c r="B102" s="537" t="s">
        <v>2613</v>
      </c>
      <c r="C102" s="577" t="str">
        <f>C103&amp;"(含)"&amp;"-"&amp;D103</f>
        <v>0(含)-100000</v>
      </c>
      <c r="D102" s="577" t="str">
        <f t="shared" ref="D102:L102" si="27">D103&amp;"(含)"&amp;"-"&amp;E103</f>
        <v>100000(含)-200000</v>
      </c>
      <c r="E102" s="577" t="str">
        <f t="shared" si="27"/>
        <v>200000(含)-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2"/>
      <c r="Q102" s="503"/>
    </row>
    <row r="103" spans="1:17" s="470" customFormat="1">
      <c r="A103" s="592"/>
      <c r="B103" s="593"/>
      <c r="C103" s="594">
        <v>0</v>
      </c>
      <c r="D103" s="594">
        <v>100000</v>
      </c>
      <c r="E103" s="594">
        <v>200000</v>
      </c>
      <c r="F103" s="594"/>
      <c r="G103" s="594"/>
      <c r="H103" s="594"/>
      <c r="I103" s="594"/>
      <c r="J103" s="595"/>
      <c r="K103" s="595"/>
      <c r="L103" s="596"/>
      <c r="M103" s="597"/>
      <c r="N103" s="1152"/>
      <c r="O103" s="1152"/>
      <c r="P103" s="2633"/>
      <c r="Q103" s="558"/>
    </row>
    <row r="104" spans="1:17" s="470" customFormat="1" ht="15.75" thickBot="1">
      <c r="A104" s="552"/>
      <c r="B104" s="542"/>
      <c r="C104" s="559"/>
      <c r="D104" s="535">
        <v>100</v>
      </c>
      <c r="E104" s="535"/>
      <c r="F104" s="535"/>
      <c r="G104" s="535"/>
      <c r="H104" s="535"/>
      <c r="I104" s="535"/>
      <c r="J104" s="535"/>
      <c r="K104" s="535"/>
      <c r="L104" s="535"/>
      <c r="M104" s="535"/>
      <c r="N104" s="1151"/>
      <c r="O104" s="1151"/>
      <c r="P104" s="2633"/>
      <c r="Q104" s="558"/>
    </row>
    <row r="105" spans="1:17" ht="15" thickTop="1">
      <c r="A105" s="598"/>
      <c r="B105" s="537" t="s">
        <v>2614</v>
      </c>
      <c r="C105" s="553"/>
      <c r="D105" s="553"/>
      <c r="E105" s="582"/>
      <c r="F105" s="582"/>
      <c r="G105" s="582"/>
      <c r="H105" s="582"/>
      <c r="I105" s="582"/>
      <c r="J105" s="582"/>
      <c r="K105" s="583"/>
      <c r="L105" s="584"/>
      <c r="M105" s="585"/>
      <c r="N105" s="1150"/>
      <c r="O105" s="1150"/>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2"/>
      <c r="Q106" s="503"/>
    </row>
    <row r="107" spans="1:17" ht="15" thickTop="1">
      <c r="A107" s="598"/>
      <c r="B107" s="537" t="s">
        <v>2615</v>
      </c>
      <c r="C107" s="582"/>
      <c r="D107" s="582"/>
      <c r="E107" s="582"/>
      <c r="F107" s="582"/>
      <c r="G107" s="582"/>
      <c r="H107" s="582"/>
      <c r="I107" s="582"/>
      <c r="J107" s="582"/>
      <c r="K107" s="583"/>
      <c r="L107" s="584"/>
      <c r="M107" s="585"/>
      <c r="N107" s="1150"/>
      <c r="O107" s="1150"/>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2"/>
      <c r="Q108" s="503"/>
    </row>
    <row r="109" spans="1:17" ht="15" thickTop="1">
      <c r="A109" s="598"/>
      <c r="B109" s="537" t="s">
        <v>2616</v>
      </c>
      <c r="C109" s="553"/>
      <c r="D109" s="553"/>
      <c r="E109" s="553"/>
      <c r="F109" s="582"/>
      <c r="G109" s="582"/>
      <c r="H109" s="582"/>
      <c r="I109" s="582"/>
      <c r="J109" s="582"/>
      <c r="K109" s="583"/>
      <c r="L109" s="584"/>
      <c r="M109" s="585"/>
      <c r="N109" s="1150"/>
      <c r="O109" s="1150"/>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3"/>
      <c r="Q113" s="558"/>
    </row>
    <row r="114" spans="1:17" ht="15" thickTop="1">
      <c r="A114" s="598"/>
      <c r="B114" s="537" t="s">
        <v>2617</v>
      </c>
      <c r="C114" s="553"/>
      <c r="D114" s="553"/>
      <c r="E114" s="582"/>
      <c r="F114" s="582"/>
      <c r="G114" s="582"/>
      <c r="H114" s="582"/>
      <c r="I114" s="582"/>
      <c r="J114" s="582"/>
      <c r="K114" s="583"/>
      <c r="L114" s="584"/>
      <c r="M114" s="585"/>
      <c r="N114" s="1150"/>
      <c r="O114" s="1150"/>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2"/>
      <c r="Q115" s="503"/>
    </row>
    <row r="116" spans="1:17" ht="15" thickTop="1">
      <c r="A116" s="598"/>
      <c r="B116" s="537" t="s">
        <v>2618</v>
      </c>
      <c r="C116" s="553"/>
      <c r="D116" s="553"/>
      <c r="E116" s="553"/>
      <c r="F116" s="553"/>
      <c r="G116" s="553"/>
      <c r="H116" s="582"/>
      <c r="I116" s="582"/>
      <c r="J116" s="582"/>
      <c r="K116" s="583"/>
      <c r="L116" s="584"/>
      <c r="M116" s="585"/>
      <c r="N116" s="1150"/>
      <c r="O116" s="1150"/>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2"/>
      <c r="Q117" s="503"/>
    </row>
    <row r="118" spans="1:17" ht="15" thickTop="1">
      <c r="A118" s="598"/>
      <c r="B118" s="537" t="s">
        <v>2619</v>
      </c>
      <c r="C118" s="2977" t="s">
        <v>3069</v>
      </c>
      <c r="D118" s="2977" t="s">
        <v>3071</v>
      </c>
      <c r="E118" s="582"/>
      <c r="F118" s="582"/>
      <c r="G118" s="582"/>
      <c r="H118" s="582"/>
      <c r="I118" s="582"/>
      <c r="J118" s="582"/>
      <c r="K118" s="583"/>
      <c r="L118" s="584"/>
      <c r="M118" s="585"/>
      <c r="N118" s="1150"/>
      <c r="O118" s="1150"/>
      <c r="P118" s="2632"/>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32"/>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3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3"/>
      <c r="Q121" s="558"/>
    </row>
    <row r="122" spans="1:17" ht="15" thickTop="1">
      <c r="A122" s="598"/>
      <c r="B122" s="537" t="s">
        <v>2620</v>
      </c>
      <c r="C122" s="2976" t="s">
        <v>3073</v>
      </c>
      <c r="D122" s="2976" t="s">
        <v>3074</v>
      </c>
      <c r="E122" s="2976" t="s">
        <v>3076</v>
      </c>
      <c r="F122" s="2977" t="s">
        <v>3077</v>
      </c>
      <c r="G122" s="582"/>
      <c r="H122" s="582"/>
      <c r="I122" s="582"/>
      <c r="J122" s="582"/>
      <c r="K122" s="583"/>
      <c r="L122" s="584"/>
      <c r="M122" s="585"/>
      <c r="N122" s="1150"/>
      <c r="O122" s="1150"/>
      <c r="P122" s="2632"/>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32"/>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3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3"/>
      <c r="Q127" s="558"/>
    </row>
    <row r="128" spans="1:17" ht="15" thickTop="1">
      <c r="A128" s="598"/>
      <c r="B128" s="537">
        <f>B45</f>
        <v>111</v>
      </c>
      <c r="C128" s="553"/>
      <c r="D128" s="553"/>
      <c r="E128" s="553"/>
      <c r="F128" s="553"/>
      <c r="G128" s="582"/>
      <c r="H128" s="582"/>
      <c r="I128" s="582"/>
      <c r="J128" s="582"/>
      <c r="K128" s="583"/>
      <c r="L128" s="584"/>
      <c r="M128" s="585"/>
      <c r="N128" s="1150"/>
      <c r="O128" s="1150"/>
      <c r="P128" s="2632"/>
      <c r="Q128" s="503"/>
    </row>
    <row r="129" spans="1:17" ht="15.75" thickBot="1">
      <c r="A129" s="533"/>
      <c r="B129" s="542"/>
      <c r="C129" s="559"/>
      <c r="D129" s="559"/>
      <c r="E129" s="559"/>
      <c r="F129" s="559"/>
      <c r="G129" s="535"/>
      <c r="H129" s="535"/>
      <c r="I129" s="535"/>
      <c r="J129" s="535"/>
      <c r="K129" s="535"/>
      <c r="L129" s="535"/>
      <c r="M129" s="536"/>
      <c r="N129" s="1151"/>
      <c r="O129" s="1151"/>
      <c r="P129" s="2632"/>
      <c r="Q129" s="503"/>
    </row>
    <row r="130" spans="1:17" ht="15" thickTop="1">
      <c r="A130" s="598"/>
      <c r="B130" s="545">
        <f>B46</f>
        <v>111</v>
      </c>
      <c r="C130" s="553"/>
      <c r="D130" s="553"/>
      <c r="E130" s="553"/>
      <c r="F130" s="553"/>
      <c r="G130" s="586"/>
      <c r="H130" s="586"/>
      <c r="I130" s="586"/>
      <c r="J130" s="586"/>
      <c r="K130" s="522"/>
      <c r="L130" s="523"/>
      <c r="M130" s="589"/>
      <c r="N130" s="1150"/>
      <c r="O130" s="1150"/>
      <c r="P130" s="2632"/>
      <c r="Q130" s="503"/>
    </row>
    <row r="131" spans="1:17" ht="15.75" thickBot="1">
      <c r="A131" s="2638"/>
      <c r="B131" s="568"/>
      <c r="C131" s="569"/>
      <c r="D131" s="569"/>
      <c r="E131" s="569"/>
      <c r="F131" s="569"/>
      <c r="G131" s="590"/>
      <c r="H131" s="590"/>
      <c r="I131" s="590"/>
      <c r="J131" s="590"/>
      <c r="K131" s="590"/>
      <c r="L131" s="590"/>
      <c r="M131" s="591"/>
      <c r="N131" s="1151"/>
      <c r="O131" s="1151"/>
      <c r="P131" s="2632"/>
      <c r="Q131" s="503"/>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5" t="s">
        <v>2625</v>
      </c>
      <c r="D138" s="145" t="s">
        <v>2626</v>
      </c>
      <c r="E138" s="2647" t="s">
        <v>2627</v>
      </c>
      <c r="F138" s="2648" t="s">
        <v>2628</v>
      </c>
      <c r="G138" s="145" t="s">
        <v>2626</v>
      </c>
      <c r="H138" s="146" t="s">
        <v>2627</v>
      </c>
      <c r="I138" s="2649"/>
      <c r="J138" s="145" t="s">
        <v>2629</v>
      </c>
      <c r="K138" s="146" t="s">
        <v>2630</v>
      </c>
    </row>
    <row r="139" spans="1:17" ht="15">
      <c r="B139" s="1082">
        <v>6</v>
      </c>
      <c r="C139" s="1083">
        <v>96</v>
      </c>
      <c r="D139" s="2650" t="s">
        <v>2631</v>
      </c>
      <c r="E139" s="1084">
        <v>100</v>
      </c>
      <c r="F139" s="1085">
        <v>102.5</v>
      </c>
      <c r="G139" s="2650" t="s">
        <v>2631</v>
      </c>
      <c r="H139" s="1086">
        <v>105</v>
      </c>
      <c r="I139" s="2651" t="s">
        <v>2632</v>
      </c>
      <c r="J139" s="1083">
        <v>20</v>
      </c>
      <c r="K139" s="1087">
        <f>C145/(J139-2)</f>
        <v>4.0555555555555553E-3</v>
      </c>
    </row>
    <row r="140" spans="1:17" ht="15">
      <c r="B140" s="1088">
        <v>5</v>
      </c>
      <c r="C140" s="1089">
        <v>100</v>
      </c>
      <c r="D140" s="1089"/>
      <c r="E140" s="1090"/>
      <c r="F140" s="1091">
        <v>102</v>
      </c>
      <c r="G140" s="1089"/>
      <c r="H140" s="1092"/>
      <c r="I140" s="2652" t="s">
        <v>2633</v>
      </c>
      <c r="J140" s="314">
        <f>ROUNDUP((J139-1)/2,0)</f>
        <v>10</v>
      </c>
      <c r="K140" s="1093">
        <v>100</v>
      </c>
    </row>
    <row r="141" spans="1:17" ht="15">
      <c r="B141" s="1088">
        <v>4</v>
      </c>
      <c r="C141" s="1089">
        <v>102</v>
      </c>
      <c r="D141" s="1089"/>
      <c r="E141" s="1090"/>
      <c r="F141" s="1091">
        <v>101.5</v>
      </c>
      <c r="G141" s="1089"/>
      <c r="H141" s="1092"/>
      <c r="I141" s="2652" t="s">
        <v>2634</v>
      </c>
      <c r="J141" s="314">
        <v>1</v>
      </c>
      <c r="K141" s="1094">
        <f>ROUND(100+(J141-J140)*K139*100,1)</f>
        <v>96.4</v>
      </c>
    </row>
    <row r="142" spans="1:17" ht="15">
      <c r="B142" s="1088">
        <v>3</v>
      </c>
      <c r="C142" s="1089">
        <v>103</v>
      </c>
      <c r="D142" s="1089"/>
      <c r="E142" s="1090"/>
      <c r="F142" s="1091">
        <v>101</v>
      </c>
      <c r="G142" s="1089"/>
      <c r="H142" s="1092"/>
      <c r="I142" s="2652" t="s">
        <v>2635</v>
      </c>
      <c r="J142" s="314">
        <f>J139</f>
        <v>20</v>
      </c>
      <c r="K142" s="1095">
        <v>95</v>
      </c>
    </row>
    <row r="143" spans="1:17" ht="15">
      <c r="B143" s="1088">
        <v>2</v>
      </c>
      <c r="C143" s="1089">
        <v>100</v>
      </c>
      <c r="D143" s="1089"/>
      <c r="E143" s="1090"/>
      <c r="F143" s="1091">
        <v>100.5</v>
      </c>
      <c r="G143" s="1089"/>
      <c r="H143" s="1092"/>
      <c r="I143" s="2652" t="s">
        <v>2636</v>
      </c>
      <c r="J143" s="1089">
        <v>15</v>
      </c>
      <c r="K143" s="1094">
        <f>ROUND(100+(J143-J140)*K139*100,1)</f>
        <v>102</v>
      </c>
    </row>
    <row r="144" spans="1:17" ht="15">
      <c r="B144" s="1088">
        <v>1</v>
      </c>
      <c r="C144" s="1089">
        <v>98</v>
      </c>
      <c r="D144" s="2653" t="s">
        <v>2637</v>
      </c>
      <c r="E144" s="1090">
        <v>102</v>
      </c>
      <c r="F144" s="1096">
        <v>100</v>
      </c>
      <c r="G144" s="2653" t="s">
        <v>2637</v>
      </c>
      <c r="H144" s="1092">
        <v>105</v>
      </c>
      <c r="I144" s="2652" t="s">
        <v>2636</v>
      </c>
      <c r="J144" s="1089">
        <v>18</v>
      </c>
      <c r="K144" s="1094">
        <f>ROUND(100+(J144-J140)*K139*100,1)</f>
        <v>103.2</v>
      </c>
    </row>
    <row r="145" spans="2:11" ht="15.75" thickBot="1">
      <c r="B145" s="2654" t="s">
        <v>2638</v>
      </c>
      <c r="C145" s="1097">
        <f>ROUND(MAX(C139:C144)/MIN(C139:C144)-1,3)</f>
        <v>7.2999999999999995E-2</v>
      </c>
      <c r="D145" s="1098"/>
      <c r="E145" s="1098"/>
      <c r="F145" s="2655" t="s">
        <v>2639</v>
      </c>
      <c r="G145" s="2656"/>
      <c r="H145" s="2657"/>
      <c r="I145" s="2658" t="s">
        <v>2636</v>
      </c>
      <c r="J145" s="1099">
        <v>8</v>
      </c>
      <c r="K145" s="1100">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3" priority="15" stopIfTrue="1" operator="containsText" text="超过">
      <formula>NOT(ISERROR(SEARCH("超过",F52)))</formula>
    </cfRule>
  </conditionalFormatting>
  <conditionalFormatting sqref="J54">
    <cfRule type="containsText" dxfId="22" priority="14" stopIfTrue="1" operator="containsText" text="超过">
      <formula>NOT(ISERROR(SEARCH("超过",J54)))</formula>
    </cfRule>
  </conditionalFormatting>
  <conditionalFormatting sqref="H54">
    <cfRule type="containsText" dxfId="21" priority="13" stopIfTrue="1" operator="containsText" text="超过">
      <formula>NOT(ISERROR(SEARCH("超过",H54)))</formula>
    </cfRule>
  </conditionalFormatting>
  <conditionalFormatting sqref="F54">
    <cfRule type="containsText" dxfId="20" priority="12" stopIfTrue="1" operator="containsText" text="超过">
      <formula>NOT(ISERROR(SEARCH("超过",F54)))</formula>
    </cfRule>
  </conditionalFormatting>
  <conditionalFormatting sqref="F53 H53 J53">
    <cfRule type="containsText" dxfId="19" priority="11" stopIfTrue="1" operator="containsText" text="超过">
      <formula>NOT(ISERROR(SEARCH("超过",F53)))</formula>
    </cfRule>
  </conditionalFormatting>
  <conditionalFormatting sqref="E52">
    <cfRule type="expression" dxfId="18" priority="10"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A4" sqref="A4:J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3058</v>
      </c>
      <c r="D1" s="1818" t="s">
        <v>70</v>
      </c>
      <c r="E1" s="1819" t="s">
        <v>1382</v>
      </c>
      <c r="F1" s="1281" t="e">
        <f ca="1">J53</f>
        <v>#N/A</v>
      </c>
      <c r="G1" s="1834"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#N/A</v>
      </c>
      <c r="C2" s="1843" t="s">
        <v>1586</v>
      </c>
      <c r="D2" s="1936" t="e">
        <f ca="1">C40+J29+L46</f>
        <v>#N/A</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t="e">
        <f ca="1">C6+C10+C12</f>
        <v>#N/A</v>
      </c>
      <c r="D5" s="1820" t="s">
        <v>1596</v>
      </c>
      <c r="E5" s="1291"/>
      <c r="F5" s="1292"/>
      <c r="G5" s="1849"/>
      <c r="H5" s="343">
        <v>1</v>
      </c>
      <c r="I5" s="344" t="s">
        <v>1595</v>
      </c>
      <c r="J5" s="1290" t="e">
        <f ca="1">J6+J10+J12</f>
        <v>#N/A</v>
      </c>
      <c r="K5" s="1820" t="s">
        <v>1596</v>
      </c>
      <c r="L5" s="1291"/>
      <c r="M5" s="1292"/>
    </row>
    <row r="6" spans="1:37" ht="18" customHeight="1">
      <c r="A6" s="1289" t="s">
        <v>1032</v>
      </c>
      <c r="B6" s="3176" t="s">
        <v>1398</v>
      </c>
      <c r="C6" s="1294" t="e">
        <f ca="1">ROUND(F6*F8*F7*(1-F9),0)</f>
        <v>#N/A</v>
      </c>
      <c r="D6" s="163" t="s">
        <v>3026</v>
      </c>
      <c r="E6" s="346" t="s">
        <v>1400</v>
      </c>
      <c r="F6" s="347" t="e">
        <f ca="1">INDIRECT("'数据-取费表'!u"&amp;$G$1)</f>
        <v>#N/A</v>
      </c>
      <c r="G6" s="1849"/>
      <c r="H6" s="1289" t="s">
        <v>1032</v>
      </c>
      <c r="I6" s="3176" t="s">
        <v>1398</v>
      </c>
      <c r="J6" s="345" t="e">
        <f ca="1">ROUND(M6*M8*M7*(1-M9),0)</f>
        <v>#N/A</v>
      </c>
      <c r="K6" s="1832" t="s">
        <v>3027</v>
      </c>
      <c r="L6" s="346" t="s">
        <v>1400</v>
      </c>
      <c r="M6" s="347" t="e">
        <f ca="1">INDIRECT("'数据-取费表'!z"&amp;$G$1)</f>
        <v>#N/A</v>
      </c>
    </row>
    <row r="7" spans="1:37" ht="18" customHeight="1">
      <c r="A7" s="1293"/>
      <c r="B7" s="3177"/>
      <c r="C7" s="1295"/>
      <c r="D7" s="351"/>
      <c r="E7" s="2971" t="s">
        <v>1401</v>
      </c>
      <c r="F7" s="347" t="e">
        <f ca="1">IF(INDIRECT("'数据-取费表'!ah"&amp;$G$1)="",INDIRECT("'数据-取费表'!k"&amp;$G$1),INDIRECT("'数据-取费表'!ah"&amp;$G$1))</f>
        <v>#N/A</v>
      </c>
      <c r="G7" s="1849"/>
      <c r="H7" s="348"/>
      <c r="I7" s="3177"/>
      <c r="J7" s="350"/>
      <c r="K7" s="351"/>
      <c r="L7" s="346" t="s">
        <v>1401</v>
      </c>
      <c r="M7" s="347" t="e">
        <f ca="1">F7</f>
        <v>#N/A</v>
      </c>
    </row>
    <row r="8" spans="1:37" ht="18" customHeight="1">
      <c r="A8" s="348"/>
      <c r="B8" s="3177"/>
      <c r="C8" s="350"/>
      <c r="D8" s="351"/>
      <c r="E8" s="346" t="s">
        <v>1402</v>
      </c>
      <c r="F8" s="347" t="e">
        <f ca="1">INDIRECT("'数据-取费表'!ai"&amp;$G$1)</f>
        <v>#N/A</v>
      </c>
      <c r="G8" s="1849"/>
      <c r="H8" s="348"/>
      <c r="I8" s="3177"/>
      <c r="J8" s="350"/>
      <c r="K8" s="351"/>
      <c r="L8" s="346" t="s">
        <v>1402</v>
      </c>
      <c r="M8" s="347" t="e">
        <f ca="1">INDIRECT("'数据-取费表'!ai"&amp;$G$1)</f>
        <v>#N/A</v>
      </c>
    </row>
    <row r="9" spans="1:37" ht="18" customHeight="1">
      <c r="A9" s="348"/>
      <c r="B9" s="3178"/>
      <c r="C9" s="350"/>
      <c r="D9" s="351"/>
      <c r="E9" s="346" t="s">
        <v>1403</v>
      </c>
      <c r="F9" s="356" t="e">
        <f ca="1">INDIRECT("'数据-取费表'!w"&amp;$G$1)</f>
        <v>#N/A</v>
      </c>
      <c r="G9" s="1849"/>
      <c r="H9" s="348"/>
      <c r="I9" s="3178"/>
      <c r="J9" s="350"/>
      <c r="K9" s="351"/>
      <c r="L9" s="357" t="s">
        <v>1403</v>
      </c>
      <c r="M9" s="358" t="e">
        <f ca="1">INDIRECT("'数据-取费表'!ab"&amp;$G$1)</f>
        <v>#N/A</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199" t="s">
        <v>1031</v>
      </c>
      <c r="B14" s="346" t="s">
        <v>1412</v>
      </c>
      <c r="C14" s="362" t="e">
        <f ca="1">ROUND(INDIRECT("'数据-取费表'!l"&amp;$G$1)*F43+'数据-取费表'!L14*INDIRECT("'数据-取费表'!S"&amp;$G$1),0)</f>
        <v>#N/A</v>
      </c>
      <c r="D14" s="2959" t="s">
        <v>1413</v>
      </c>
      <c r="E14" s="2954"/>
      <c r="F14" s="363"/>
      <c r="G14" s="1849"/>
      <c r="H14" s="1199" t="s">
        <v>1032</v>
      </c>
      <c r="I14" s="346" t="s">
        <v>1414</v>
      </c>
      <c r="J14" s="23" t="e">
        <f ca="1">C29</f>
        <v>#N/A</v>
      </c>
      <c r="K14" s="2970"/>
      <c r="L14" s="977"/>
      <c r="M14" s="978"/>
    </row>
    <row r="15" spans="1:37" s="1856" customFormat="1" ht="18" customHeight="1" thickBot="1">
      <c r="A15" s="1199" t="s">
        <v>1033</v>
      </c>
      <c r="B15" s="346" t="s">
        <v>1415</v>
      </c>
      <c r="C15" s="23" t="e">
        <f ca="1">ROUND(C14*F15,0)</f>
        <v>#N/A</v>
      </c>
      <c r="D15" s="364" t="s">
        <v>1416</v>
      </c>
      <c r="E15" s="364" t="s">
        <v>1417</v>
      </c>
      <c r="F15" s="365">
        <f>'数据-取费表'!B33</f>
        <v>0.05</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t="e">
        <f ca="1">ROUND(INDIRECT("'数据-取费表'!l"&amp;$G$1)*F43*F16,0)</f>
        <v>#N/A</v>
      </c>
      <c r="D16" s="346" t="s">
        <v>1416</v>
      </c>
      <c r="E16" s="346" t="s">
        <v>1417</v>
      </c>
      <c r="F16" s="366" t="e">
        <f ca="1">IF(INDIRECT("'数据-取费表'!c"&amp;$G$1)="住宅",'数据-取费表'!B34,0)</f>
        <v>#N/A</v>
      </c>
      <c r="G16" s="1849"/>
      <c r="H16" s="1327" t="s">
        <v>1027</v>
      </c>
      <c r="I16" s="1328" t="s">
        <v>1419</v>
      </c>
      <c r="J16" s="354" t="e">
        <f ca="1">ROUND(J17+J22+J23+J24,0)</f>
        <v>#N/A</v>
      </c>
      <c r="K16" s="1335" t="s">
        <v>1420</v>
      </c>
      <c r="L16" s="2961"/>
      <c r="M16" s="1292"/>
    </row>
    <row r="17" spans="1:37" s="1856" customFormat="1" ht="18" customHeight="1">
      <c r="A17" s="1199" t="s">
        <v>1385</v>
      </c>
      <c r="B17" s="346" t="s">
        <v>1421</v>
      </c>
      <c r="C17" s="23" t="e">
        <f ca="1">ROUND(F17*(F43+INDIRECT("'数据-取费表'!S"&amp;$G$1)),0)</f>
        <v>#N/A</v>
      </c>
      <c r="D17" s="346" t="s">
        <v>1422</v>
      </c>
      <c r="E17" s="346" t="s">
        <v>1423</v>
      </c>
      <c r="F17" s="25">
        <f>'数据-取费表'!B35</f>
        <v>200</v>
      </c>
      <c r="G17" s="1852"/>
      <c r="H17" s="1199" t="s">
        <v>1032</v>
      </c>
      <c r="I17" s="346" t="s">
        <v>1424</v>
      </c>
      <c r="J17" s="23" t="e">
        <f ca="1">ROUND(IF(项目基本情况!B11="自然人",J5*M17,J18+J19+J20),0)</f>
        <v>#N/A</v>
      </c>
      <c r="K17" s="2959" t="s">
        <v>1425</v>
      </c>
      <c r="L17" s="2957" t="s">
        <v>1426</v>
      </c>
      <c r="M17" s="367" t="e">
        <f ca="1">IF(项目基本情况!B11="企业","",IF(INDIRECT("'数据-取费表'!c"&amp;$G$1)="住宅",5%,IF(M6*M7*M8/12/(1+'数据-取费表'!C42)&gt;20000,12%,7%)))</f>
        <v>#N/A</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t="e">
        <f ca="1">ROUND(C14*F18,0)</f>
        <v>#N/A</v>
      </c>
      <c r="D18" s="346" t="s">
        <v>1416</v>
      </c>
      <c r="E18" s="346" t="s">
        <v>1417</v>
      </c>
      <c r="F18" s="366">
        <f>'数据-取费表'!B36</f>
        <v>1.4999999999999999E-2</v>
      </c>
      <c r="G18" s="1852"/>
      <c r="H18" s="1199" t="s">
        <v>1031</v>
      </c>
      <c r="I18" s="346" t="s">
        <v>1428</v>
      </c>
      <c r="J18" s="23" t="e">
        <f ca="1">ROUND(J5*M18/(1+'数据-取费表'!C42),0)</f>
        <v>#N/A</v>
      </c>
      <c r="K18" s="2957"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t="e">
        <f ca="1">SUM(C14:C18)</f>
        <v>#N/A</v>
      </c>
      <c r="D19" s="139" t="s">
        <v>1431</v>
      </c>
      <c r="E19" s="2968"/>
      <c r="F19" s="25"/>
      <c r="G19" s="1849"/>
      <c r="H19" s="1199" t="s">
        <v>1033</v>
      </c>
      <c r="I19" s="346" t="s">
        <v>1432</v>
      </c>
      <c r="J19" s="23" t="e">
        <f ca="1">IF(K19="按租金收入计税",ROUND(J5*M19,0),ROUND(C29*M19*0.7,0))</f>
        <v>#N/A</v>
      </c>
      <c r="K19" s="1826" t="s">
        <v>1433</v>
      </c>
      <c r="L19" s="346" t="s">
        <v>1417</v>
      </c>
      <c r="M19" s="366">
        <f>IF(K19="按租金收入计税",'数据-取费表'!B51,'数据-取费表'!B50)</f>
        <v>1.2E-2</v>
      </c>
    </row>
    <row r="20" spans="1:37" s="1856" customFormat="1" ht="18" customHeight="1">
      <c r="A20" s="1199" t="s">
        <v>1036</v>
      </c>
      <c r="B20" s="346" t="s">
        <v>1434</v>
      </c>
      <c r="C20" s="23" t="e">
        <f ca="1">ROUND(C19*F20,0)</f>
        <v>#N/A</v>
      </c>
      <c r="D20" s="368" t="s">
        <v>1435</v>
      </c>
      <c r="E20" s="346" t="s">
        <v>1417</v>
      </c>
      <c r="F20" s="366">
        <f>'数据-取费表'!B37</f>
        <v>0.02</v>
      </c>
      <c r="G20" s="1852"/>
      <c r="H20" s="1199" t="s">
        <v>1384</v>
      </c>
      <c r="I20" s="163" t="s">
        <v>1436</v>
      </c>
      <c r="J20" s="24" t="e">
        <f ca="1">ROUND(M20*M21,0)</f>
        <v>#N/A</v>
      </c>
      <c r="K20" s="369" t="s">
        <v>1437</v>
      </c>
      <c r="L20" s="346" t="s">
        <v>1438</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2968"/>
      <c r="F22" s="25"/>
      <c r="G22" s="1849"/>
      <c r="H22" s="1199" t="s">
        <v>1036</v>
      </c>
      <c r="I22" s="346" t="s">
        <v>1444</v>
      </c>
      <c r="J22" s="23" t="e">
        <f ca="1">ROUND(J14*M22,0)</f>
        <v>#N/A</v>
      </c>
      <c r="K22" s="2957" t="s">
        <v>1445</v>
      </c>
      <c r="L22" s="346" t="s">
        <v>1417</v>
      </c>
      <c r="M22" s="373" t="e">
        <f ca="1">INDIRECT("'数据-取费表'!Ak"&amp;$G$1)</f>
        <v>#N/A</v>
      </c>
    </row>
    <row r="23" spans="1:37" s="1856" customFormat="1" ht="18" customHeight="1">
      <c r="A23" s="1199"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t="e">
        <f ca="1">ROUND(J13*M23,0)</f>
        <v>#N/A</v>
      </c>
      <c r="K23" s="2957" t="s">
        <v>1449</v>
      </c>
      <c r="L23" s="346" t="s">
        <v>1450</v>
      </c>
      <c r="M23" s="375"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t="e">
        <f ca="1">ROUND(J5*M24,0)</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2968"/>
      <c r="F25" s="25"/>
      <c r="G25" s="1849"/>
      <c r="H25" s="1327" t="s">
        <v>1028</v>
      </c>
      <c r="I25" s="1342" t="s">
        <v>1458</v>
      </c>
      <c r="J25" s="354" t="e">
        <f ca="1">J5-J16</f>
        <v>#N/A</v>
      </c>
      <c r="K25" s="1343" t="s">
        <v>1459</v>
      </c>
      <c r="L25" s="1344"/>
      <c r="M25" s="1345"/>
    </row>
    <row r="26" spans="1:37" ht="18" customHeight="1">
      <c r="A26" s="1199" t="s">
        <v>1031</v>
      </c>
      <c r="B26" s="346" t="s">
        <v>1460</v>
      </c>
      <c r="C26" s="23" t="e">
        <f ca="1">ROUND((C19+C20)*F26,0)</f>
        <v>#N/A</v>
      </c>
      <c r="D26" s="368" t="s">
        <v>1461</v>
      </c>
      <c r="E26" s="357" t="s">
        <v>1462</v>
      </c>
      <c r="F26" s="356" t="e">
        <f ca="1">INDIRECT("'数据-取费表'!q"&amp;$G$1)</f>
        <v>#N/A</v>
      </c>
      <c r="G26" s="1849"/>
      <c r="H26" s="343" t="s">
        <v>1029</v>
      </c>
      <c r="I26" s="344" t="s">
        <v>1463</v>
      </c>
      <c r="J26" s="345" t="e">
        <f ca="1">IF(J5&lt;&gt;0,ROUND(J25*(1-((1+M28)/(1+M26))^M27)/(M26-M28),0),0)</f>
        <v>#N/A</v>
      </c>
      <c r="K26" s="369" t="s">
        <v>1464</v>
      </c>
      <c r="L26" s="346" t="s">
        <v>1465</v>
      </c>
      <c r="M26" s="356" t="e">
        <f ca="1">INDIRECT("'数据-取费表'!I"&amp;$G$1)</f>
        <v>#N/A</v>
      </c>
    </row>
    <row r="27" spans="1:37" ht="18" customHeight="1">
      <c r="A27" s="1199" t="s">
        <v>1033</v>
      </c>
      <c r="B27" s="346" t="s">
        <v>1466</v>
      </c>
      <c r="C27" s="23" t="e">
        <f ca="1">ROUND(F21*F26,4)</f>
        <v>#N/A</v>
      </c>
      <c r="D27" s="368" t="s">
        <v>1467</v>
      </c>
      <c r="E27" s="364"/>
      <c r="F27" s="365"/>
      <c r="G27" s="1849"/>
      <c r="H27" s="348"/>
      <c r="I27" s="349"/>
      <c r="J27" s="350"/>
      <c r="K27" s="377" t="s">
        <v>1468</v>
      </c>
      <c r="L27" s="346" t="s">
        <v>1469</v>
      </c>
      <c r="M27" s="378" t="e">
        <f ca="1">INDIRECT("'数据-取费表'!ag"&amp;$G$1)</f>
        <v>#N/A</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79" t="s">
        <v>1030</v>
      </c>
      <c r="I29" s="380" t="s">
        <v>1474</v>
      </c>
      <c r="J29" s="381" t="e">
        <f ca="1">ROUND(J26/(1+F40)^F41,0)</f>
        <v>#N/A</v>
      </c>
      <c r="K29" s="382" t="s">
        <v>1475</v>
      </c>
      <c r="L29" s="383"/>
      <c r="M29" s="384"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t="e">
        <f ca="1">ROUND(C31+C36+C37+C38,0)</f>
        <v>#N/A</v>
      </c>
      <c r="D30" s="1335" t="s">
        <v>1420</v>
      </c>
      <c r="E30" s="2961"/>
      <c r="F30" s="1292"/>
      <c r="G30" s="1849"/>
      <c r="H30" s="743"/>
      <c r="I30" s="744"/>
      <c r="J30" s="745"/>
      <c r="K30" s="746"/>
      <c r="L30" s="747"/>
      <c r="M30" s="748"/>
    </row>
    <row r="31" spans="1:37" ht="18" customHeight="1">
      <c r="A31" s="1199" t="s">
        <v>1032</v>
      </c>
      <c r="B31" s="346" t="s">
        <v>1424</v>
      </c>
      <c r="C31" s="23" t="e">
        <f ca="1">ROUND(IF(项目基本情况!B11="自然人",C5*F31,C32+C33+C34),0)</f>
        <v>#N/A</v>
      </c>
      <c r="D31" s="2959" t="s">
        <v>1425</v>
      </c>
      <c r="E31" s="2957" t="s">
        <v>1476</v>
      </c>
      <c r="F31" s="367" t="e">
        <f ca="1">IF(项目基本情况!B11="企业","",IF(INDIRECT("'数据-取费表'!c"&amp;$G$1)="住宅",5%,IF(F6*F7*F8/12/(1+'数据-取费表'!C42)&gt;20000,12%,7%)))</f>
        <v>#N/A</v>
      </c>
      <c r="G31" s="1849"/>
      <c r="H31" s="743"/>
      <c r="I31" s="744"/>
      <c r="J31" s="745"/>
      <c r="K31" s="746"/>
      <c r="L31" s="747"/>
      <c r="M31" s="748"/>
    </row>
    <row r="32" spans="1:37" ht="18" customHeight="1">
      <c r="A32" s="1199" t="s">
        <v>1031</v>
      </c>
      <c r="B32" s="346" t="s">
        <v>1428</v>
      </c>
      <c r="C32" s="23" t="str">
        <f>IF(项目基本情况!B11="自然人","——",ROUND(C5*F32/(1+'数据-取费表'!C42),0))</f>
        <v>——</v>
      </c>
      <c r="D32" s="2957"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3080</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12</v>
      </c>
      <c r="G34" s="1849"/>
      <c r="H34" s="743"/>
      <c r="I34" s="1858"/>
      <c r="J34" s="1859"/>
      <c r="K34" s="1861"/>
      <c r="L34" s="1862"/>
      <c r="M34" s="1862"/>
    </row>
    <row r="35" spans="1:18" ht="18" customHeight="1">
      <c r="A35" s="1351"/>
      <c r="B35" s="1349"/>
      <c r="C35" s="28"/>
      <c r="D35" s="372"/>
      <c r="E35" s="346" t="s">
        <v>1442</v>
      </c>
      <c r="F35" s="347" t="e">
        <f ca="1">INDIRECT("'数据-取费表'!r"&amp;$G$1)</f>
        <v>#N/A</v>
      </c>
      <c r="G35" s="1849"/>
      <c r="H35" s="743"/>
      <c r="I35" s="1858"/>
      <c r="J35" s="1859"/>
      <c r="K35" s="1860"/>
      <c r="L35" s="1857"/>
      <c r="M35" s="1857"/>
    </row>
    <row r="36" spans="1:18" ht="18" customHeight="1">
      <c r="A36" s="1350" t="s">
        <v>1036</v>
      </c>
      <c r="B36" s="346" t="s">
        <v>1444</v>
      </c>
      <c r="C36" s="23" t="e">
        <f ca="1">ROUND(C29*F36,0)</f>
        <v>#N/A</v>
      </c>
      <c r="D36" s="2957" t="s">
        <v>1477</v>
      </c>
      <c r="E36" s="346" t="s">
        <v>1417</v>
      </c>
      <c r="F36" s="373" t="e">
        <f ca="1">INDIRECT("'数据-取费表'!Ak"&amp;$G$1)</f>
        <v>#N/A</v>
      </c>
      <c r="G36" s="1849"/>
      <c r="H36" s="1857"/>
      <c r="I36" s="1858"/>
      <c r="J36" s="1859"/>
      <c r="K36" s="749"/>
      <c r="L36" s="1857"/>
      <c r="M36" s="1857"/>
    </row>
    <row r="37" spans="1:18" ht="18" customHeight="1">
      <c r="A37" s="1199" t="s">
        <v>1072</v>
      </c>
      <c r="B37" s="346" t="s">
        <v>1448</v>
      </c>
      <c r="C37" s="23" t="e">
        <f ca="1">ROUND(C13*F37,0)</f>
        <v>#N/A</v>
      </c>
      <c r="D37" s="2957" t="s">
        <v>1449</v>
      </c>
      <c r="E37" s="346" t="s">
        <v>1450</v>
      </c>
      <c r="F37" s="375" t="e">
        <f ca="1">INDIRECT("'数据-取费表'!Al"&amp;$G$1)</f>
        <v>#N/A</v>
      </c>
      <c r="G37" s="1849"/>
      <c r="H37" s="1857"/>
      <c r="I37" s="1858"/>
      <c r="J37" s="1859"/>
      <c r="K37" s="749"/>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 customHeight="1" thickTop="1">
      <c r="A39" s="1327" t="s">
        <v>1028</v>
      </c>
      <c r="B39" s="1342" t="s">
        <v>1478</v>
      </c>
      <c r="C39" s="354" t="e">
        <f ca="1">C5-C30</f>
        <v>#N/A</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#N/A</v>
      </c>
      <c r="D40" s="369" t="s">
        <v>1464</v>
      </c>
      <c r="E40" s="346" t="s">
        <v>1465</v>
      </c>
      <c r="F40" s="356" t="e">
        <f ca="1">INDIRECT("'数据-取费表'!I"&amp;$G$1)</f>
        <v>#N/A</v>
      </c>
      <c r="G40" s="1849"/>
      <c r="H40" s="1837"/>
      <c r="I40" s="1858"/>
      <c r="J40" s="1859"/>
      <c r="K40" s="1863"/>
      <c r="L40" s="1837"/>
      <c r="M40" s="1837"/>
    </row>
    <row r="41" spans="1:18" ht="18" customHeight="1">
      <c r="A41" s="348"/>
      <c r="B41" s="349"/>
      <c r="C41" s="350"/>
      <c r="D41" s="377" t="s">
        <v>1481</v>
      </c>
      <c r="E41" s="346" t="s">
        <v>1469</v>
      </c>
      <c r="F41" s="378" t="e">
        <f ca="1">IF(INDIRECT("'数据-取费表'!af"&amp;$G$1)=0,INDIRECT("'数据-取费表'!ae"&amp;$G$1),INDIRECT("'数据-取费表'!af"&amp;$G$1))</f>
        <v>#N/A</v>
      </c>
      <c r="G41" s="1849"/>
      <c r="H41" s="730"/>
      <c r="I41" s="1858"/>
      <c r="J41" s="1859"/>
      <c r="K41" s="749"/>
      <c r="L41" s="730"/>
      <c r="M41" s="730"/>
    </row>
    <row r="42" spans="1:18" ht="18" customHeight="1">
      <c r="A42" s="352"/>
      <c r="B42" s="353"/>
      <c r="C42" s="354"/>
      <c r="D42" s="372"/>
      <c r="E42" s="346" t="s">
        <v>1472</v>
      </c>
      <c r="F42" s="356" t="e">
        <f ca="1">INDIRECT("'数据-取费表'!v"&amp;$G$1)</f>
        <v>#N/A</v>
      </c>
      <c r="G42" s="1849"/>
      <c r="H42" s="730"/>
      <c r="I42" s="1858"/>
      <c r="J42" s="1859"/>
      <c r="K42" s="749"/>
      <c r="L42" s="730"/>
      <c r="M42" s="730"/>
    </row>
    <row r="43" spans="1:18" ht="18" customHeight="1" thickBot="1">
      <c r="A43" s="379" t="s">
        <v>1030</v>
      </c>
      <c r="B43" s="380" t="s">
        <v>1482</v>
      </c>
      <c r="C43" s="381" t="e">
        <f ca="1">ROUND(C40/F43,0)</f>
        <v>#N/A</v>
      </c>
      <c r="D43" s="382" t="s">
        <v>1483</v>
      </c>
      <c r="E43" s="383" t="s">
        <v>1484</v>
      </c>
      <c r="F43" s="384"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1599</v>
      </c>
      <c r="E45" s="1864"/>
      <c r="F45" s="1864"/>
      <c r="O45" s="1867" t="s">
        <v>1514</v>
      </c>
      <c r="P45" s="1837"/>
      <c r="Q45" s="1837"/>
      <c r="R45" s="1837"/>
    </row>
    <row r="46" spans="1:18" s="1840" customFormat="1" ht="13.5" thickBot="1">
      <c r="A46" s="1868" t="s">
        <v>1515</v>
      </c>
      <c r="C46" s="1869" t="e">
        <f ca="1">ROUND(C45/10000,0)</f>
        <v>#N/A</v>
      </c>
      <c r="D46" s="1870" t="str">
        <f>C2</f>
        <v>万元</v>
      </c>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3081</v>
      </c>
      <c r="K47" s="1880" t="s">
        <v>1522</v>
      </c>
      <c r="L47" s="1881" t="e">
        <f ca="1">INDIRECT("'数据-取费表'!d"&amp;$G$1)</f>
        <v>#N/A</v>
      </c>
      <c r="M47" s="1836" t="str">
        <f>IF(ISNUMBER(FIND("住宅",C1)),"住宅","非住宅")</f>
        <v>住宅</v>
      </c>
      <c r="O47" s="1882" t="s">
        <v>1037</v>
      </c>
      <c r="P47" s="1883" t="s">
        <v>1523</v>
      </c>
      <c r="Q47" s="1884" t="e">
        <f ca="1">C40+J29</f>
        <v>#N/A</v>
      </c>
      <c r="R47" s="1884" t="s">
        <v>1524</v>
      </c>
    </row>
    <row r="48" spans="1:18" s="1840" customFormat="1" ht="28.5" thickBot="1">
      <c r="A48" s="1358" t="s">
        <v>1132</v>
      </c>
      <c r="B48" s="344" t="s">
        <v>1396</v>
      </c>
      <c r="C48" s="2967" t="e">
        <f ca="1">C49+C53+C55</f>
        <v>#N/A</v>
      </c>
      <c r="D48" s="1360"/>
      <c r="E48" s="1361"/>
      <c r="F48" s="1179"/>
      <c r="G48" s="790"/>
      <c r="H48" s="791"/>
      <c r="I48" s="1885" t="s">
        <v>1525</v>
      </c>
      <c r="J48" s="1886" t="s">
        <v>3082</v>
      </c>
      <c r="K48" s="1887" t="s">
        <v>1526</v>
      </c>
      <c r="L48" s="1888" t="e">
        <f ca="1">INDIRECT("'数据-取费表'!f"&amp;$G$1)</f>
        <v>#N/A</v>
      </c>
      <c r="O48" s="1882" t="s">
        <v>1038</v>
      </c>
      <c r="P48" s="1883" t="s">
        <v>1527</v>
      </c>
      <c r="Q48" s="1884" t="e">
        <f ca="1">J60</f>
        <v>#N/A</v>
      </c>
      <c r="R48" s="1884" t="s">
        <v>1528</v>
      </c>
    </row>
    <row r="49" spans="1:18" s="1840" customFormat="1" ht="13.5" thickBot="1">
      <c r="A49" s="1192" t="s">
        <v>1133</v>
      </c>
      <c r="B49" s="1827" t="s">
        <v>1485</v>
      </c>
      <c r="C49" s="1362" t="e">
        <f ca="1">ROUND(F49*F51*F50*(1-F52),0)</f>
        <v>#N/A</v>
      </c>
      <c r="D49" s="1274" t="s">
        <v>1399</v>
      </c>
      <c r="E49" s="1828" t="s">
        <v>1486</v>
      </c>
      <c r="F49" s="1279"/>
      <c r="G49" s="1889"/>
      <c r="H49" s="791"/>
      <c r="I49" s="1885" t="s">
        <v>1529</v>
      </c>
      <c r="J49" s="1890">
        <v>2003</v>
      </c>
      <c r="K49" s="1887" t="s">
        <v>1530</v>
      </c>
      <c r="L49" s="1891"/>
      <c r="O49" s="1892" t="s">
        <v>1039</v>
      </c>
      <c r="P49" s="1883" t="s">
        <v>1531</v>
      </c>
      <c r="Q49" s="1884" t="e">
        <f ca="1">C29</f>
        <v>#N/A</v>
      </c>
      <c r="R49" s="1884" t="s">
        <v>1524</v>
      </c>
    </row>
    <row r="50" spans="1:18" s="1840" customFormat="1" ht="13.5" thickBot="1">
      <c r="A50" s="1193"/>
      <c r="B50" s="1196"/>
      <c r="C50" s="1197"/>
      <c r="D50" s="1170"/>
      <c r="E50" s="1275" t="s">
        <v>1401</v>
      </c>
      <c r="F50" s="1276" t="e">
        <f ca="1">F7</f>
        <v>#N/A</v>
      </c>
      <c r="H50" s="791"/>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4"/>
      <c r="B51" s="1196"/>
      <c r="C51" s="1197"/>
      <c r="D51" s="1170"/>
      <c r="E51" s="1198" t="s">
        <v>1402</v>
      </c>
      <c r="F51" s="347" t="e">
        <f ca="1">F8</f>
        <v>#N/A</v>
      </c>
      <c r="I51" s="1896" t="s">
        <v>1535</v>
      </c>
      <c r="J51" s="1897">
        <f>IF(J49="",J50,J49+J50-YEAR('数据-取费表'!B2))</f>
        <v>44</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t="e">
        <f ca="1">J53</f>
        <v>#N/A</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1904" t="e">
        <f ca="1">IF(M47="住宅",IF(D1="——",MAX(J51,L48),IF(D1="在建（套用方法）",MAX(J51,L48-'数据-取费表'!B24),MAX(J51,L48-'数据-取费表'!B20))),IF(D1="——",MIN(J51,L48),IF(D1="在建（套用方法）",MIN(J51,L48-'数据-取费表'!B24),IF(D1="土地（套用方法）",MIN(J51,L48-'数据-取费表'!B20)))))</f>
        <v>#N/A</v>
      </c>
      <c r="K53" s="3174" t="s">
        <v>1543</v>
      </c>
      <c r="L53" s="3175"/>
      <c r="O53" s="1882" t="s">
        <v>1043</v>
      </c>
      <c r="P53" s="1883" t="s">
        <v>1544</v>
      </c>
      <c r="Q53" s="1884" t="e">
        <f ca="1">Q47+Q48</f>
        <v>#N/A</v>
      </c>
      <c r="R53" s="1884" t="s">
        <v>1044</v>
      </c>
    </row>
    <row r="54" spans="1:18" s="1840" customFormat="1" ht="13.5" thickBot="1">
      <c r="A54" s="1192"/>
      <c r="B54" s="1939" t="s">
        <v>1598</v>
      </c>
      <c r="C54" s="1176"/>
      <c r="D54" s="1822"/>
      <c r="E54" s="2963"/>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1545</v>
      </c>
      <c r="P54" s="1837"/>
      <c r="Q54" s="1837"/>
      <c r="R54" s="1837"/>
    </row>
    <row r="55" spans="1:18" s="1840" customFormat="1" ht="13.5" thickBot="1">
      <c r="A55" s="1331" t="s">
        <v>1072</v>
      </c>
      <c r="B55" s="1825" t="s">
        <v>1408</v>
      </c>
      <c r="C55" s="1332"/>
      <c r="D55" s="1822"/>
      <c r="E55" s="2963"/>
      <c r="F55" s="1905"/>
      <c r="I55" s="1908" t="s">
        <v>1546</v>
      </c>
      <c r="J55" s="1909" t="e">
        <f ca="1">ROUND(IF(J47="钢混",J57/J50,1-(1-2%)*(J50-J57)/J50),3)</f>
        <v>#N/A</v>
      </c>
      <c r="K55" s="1910" t="s">
        <v>1547</v>
      </c>
      <c r="L55" s="1911"/>
      <c r="O55" s="1875" t="s">
        <v>1517</v>
      </c>
      <c r="P55" s="1876" t="s">
        <v>1518</v>
      </c>
      <c r="Q55" s="1877" t="s">
        <v>1519</v>
      </c>
      <c r="R55" s="1877" t="s">
        <v>1520</v>
      </c>
    </row>
    <row r="56" spans="1:18" s="1840" customFormat="1" ht="36" customHeight="1" thickTop="1" thickBot="1">
      <c r="A56" s="1174">
        <v>2</v>
      </c>
      <c r="B56" s="1175" t="s">
        <v>1409</v>
      </c>
      <c r="C56" s="275" t="e">
        <f ca="1">C13</f>
        <v>#N/A</v>
      </c>
      <c r="D56" s="1912"/>
      <c r="E56" s="1913"/>
      <c r="F56" s="1905"/>
      <c r="I56" s="1914" t="s">
        <v>1549</v>
      </c>
      <c r="J56" s="1915" t="s">
        <v>3056</v>
      </c>
      <c r="K56" s="1885" t="s">
        <v>1550</v>
      </c>
      <c r="L56" s="1888" t="e">
        <f ca="1">IF(L48&lt;J51,"——",L48-J51)</f>
        <v>#N/A</v>
      </c>
      <c r="O56" s="1882" t="s">
        <v>1037</v>
      </c>
      <c r="P56" s="1883" t="s">
        <v>1523</v>
      </c>
      <c r="Q56" s="1884" t="e">
        <f ca="1">C40+J29</f>
        <v>#N/A</v>
      </c>
      <c r="R56" s="1884" t="s">
        <v>1524</v>
      </c>
    </row>
    <row r="57" spans="1:18" s="1840" customFormat="1" ht="24.75" thickBot="1">
      <c r="A57" s="1916"/>
      <c r="B57" s="1167" t="s">
        <v>1473</v>
      </c>
      <c r="C57" s="281" t="e">
        <f ca="1">C29</f>
        <v>#N/A</v>
      </c>
      <c r="D57" s="1917"/>
      <c r="E57" s="1918"/>
      <c r="F57" s="1919"/>
      <c r="I57" s="1920" t="s">
        <v>1551</v>
      </c>
      <c r="J57" s="1921" t="e">
        <f ca="1">IF(OR(M47="住宅",J51&lt;L48,J56="是"),"——",J51-L48)</f>
        <v>#N/A</v>
      </c>
      <c r="K57" s="1885" t="s">
        <v>1600</v>
      </c>
      <c r="L57" s="1888" t="e">
        <f ca="1">IF(L48&lt;J51,"——",IF(L55="比较法",L49,IF(L55="基准地价",L50,L51)))</f>
        <v>#N/A</v>
      </c>
      <c r="O57" s="1882" t="s">
        <v>1038</v>
      </c>
      <c r="P57" s="1883" t="s">
        <v>1601</v>
      </c>
      <c r="Q57" s="1884" t="e">
        <f ca="1">L60</f>
        <v>#N/A</v>
      </c>
      <c r="R57" s="1884" t="s">
        <v>1602</v>
      </c>
    </row>
    <row r="58" spans="1:18" s="1840" customFormat="1" ht="24.75" thickBot="1">
      <c r="A58" s="359" t="s">
        <v>1027</v>
      </c>
      <c r="B58" s="1175" t="s">
        <v>1419</v>
      </c>
      <c r="C58" s="360" t="e">
        <f ca="1">ROUND(C59+C64+C65+C66,0)</f>
        <v>#N/A</v>
      </c>
      <c r="D58" s="1177" t="s">
        <v>1420</v>
      </c>
      <c r="E58" s="1178"/>
      <c r="F58" s="1179"/>
      <c r="I58" s="1920" t="s">
        <v>1555</v>
      </c>
      <c r="J58" s="1922" t="e">
        <f ca="1">IF(J55&lt;0.4,0.4,J55)</f>
        <v>#N/A</v>
      </c>
      <c r="K58" s="1898" t="s">
        <v>1603</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199" t="s">
        <v>1032</v>
      </c>
      <c r="B59" s="1167" t="s">
        <v>1424</v>
      </c>
      <c r="C59" s="23" t="e">
        <f ca="1">ROUND(IF(项目基本情况!B11="自然人",C48*F59,C60+C61+C62),0)</f>
        <v>#N/A</v>
      </c>
      <c r="D59" s="1180" t="s">
        <v>1425</v>
      </c>
      <c r="E59" s="1181" t="s">
        <v>1426</v>
      </c>
      <c r="F59" s="367" t="e">
        <f ca="1">IF(项目基本情况!B11="企业","",IF(INDIRECT("'数据-取费表'!c"&amp;$G$1)="住宅",5%,IF(F49*F50*F51/12/(1+'数据-取费表'!C42)&gt;20000,12%,7%)))</f>
        <v>#N/A</v>
      </c>
      <c r="I59" s="1920" t="s">
        <v>1558</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e">
        <f ca="1">IF(OR(M47="住宅",J51&lt;L48,J56="是"),"0",ROUND(J59/(1+J52)^J53,0))</f>
        <v>#N/A</v>
      </c>
      <c r="K60" s="1925" t="s">
        <v>1561</v>
      </c>
      <c r="L60" s="1924" t="e">
        <f ca="1">IF(OR(M47="住宅",L48&lt;J51),0,ROUND(L57*(L58/L59-1),0))</f>
        <v>#N/A</v>
      </c>
      <c r="O60" s="1892" t="s">
        <v>1041</v>
      </c>
      <c r="P60" s="1883" t="s">
        <v>1562</v>
      </c>
      <c r="Q60" s="1884" t="e">
        <f ca="1">L58</f>
        <v>#N/A</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#N/A</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12</v>
      </c>
      <c r="I62" s="1927" t="s">
        <v>1565</v>
      </c>
      <c r="J62" s="1928" t="s">
        <v>1566</v>
      </c>
      <c r="K62" s="1928" t="s">
        <v>1567</v>
      </c>
      <c r="L62" s="1928" t="s">
        <v>1568</v>
      </c>
      <c r="M62" s="1929" t="s">
        <v>1569</v>
      </c>
      <c r="O62" s="1882" t="s">
        <v>1043</v>
      </c>
      <c r="P62" s="1883" t="s">
        <v>1570</v>
      </c>
      <c r="Q62" s="1884" t="e">
        <f ca="1">Q56+Q57</f>
        <v>#N/A</v>
      </c>
      <c r="R62" s="1884" t="s">
        <v>1044</v>
      </c>
    </row>
    <row r="63" spans="1:18" s="1840" customFormat="1" ht="13.5" thickBot="1">
      <c r="A63" s="371"/>
      <c r="B63" s="1173"/>
      <c r="C63" s="28"/>
      <c r="D63" s="1183"/>
      <c r="E63" s="1167" t="s">
        <v>1494</v>
      </c>
      <c r="F63" s="347" t="e">
        <f t="shared" ca="1" si="0"/>
        <v>#N/A</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t="e">
        <f ca="1">ROUND(C57*F64,0)</f>
        <v>#N/A</v>
      </c>
      <c r="D64" s="1181" t="s">
        <v>1497</v>
      </c>
      <c r="E64" s="1167" t="s">
        <v>1489</v>
      </c>
      <c r="F64" s="373" t="e">
        <f t="shared" ca="1" si="0"/>
        <v>#N/A</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t="e">
        <f ca="1">ROUND(C56*F65,0)</f>
        <v>#N/A</v>
      </c>
      <c r="D65" s="1181" t="s">
        <v>1449</v>
      </c>
      <c r="E65" s="1167" t="s">
        <v>1450</v>
      </c>
      <c r="F65" s="375" t="e">
        <f t="shared" ca="1" si="0"/>
        <v>#N/A</v>
      </c>
      <c r="I65" s="1927" t="s">
        <v>1574</v>
      </c>
      <c r="J65" s="1928">
        <v>40</v>
      </c>
      <c r="K65" s="1928">
        <v>30</v>
      </c>
      <c r="L65" s="1928">
        <v>50</v>
      </c>
      <c r="M65" s="1930">
        <v>0.02</v>
      </c>
      <c r="O65" s="1882" t="s">
        <v>1037</v>
      </c>
      <c r="P65" s="1883" t="s">
        <v>1575</v>
      </c>
      <c r="Q65" s="1884" t="e">
        <f ca="1">C40+J29</f>
        <v>#N/A</v>
      </c>
      <c r="R65" s="1884" t="s">
        <v>1524</v>
      </c>
    </row>
    <row r="66" spans="1:18" s="1840" customFormat="1" ht="16.5" thickBot="1">
      <c r="A66" s="1199" t="s">
        <v>1499</v>
      </c>
      <c r="B66" s="1167" t="s">
        <v>1434</v>
      </c>
      <c r="C66" s="23" t="e">
        <f ca="1">ROUND(C48*F66,0)</f>
        <v>#N/A</v>
      </c>
      <c r="D66" s="1181" t="s">
        <v>1500</v>
      </c>
      <c r="E66" s="1167" t="s">
        <v>1417</v>
      </c>
      <c r="F66" s="356" t="e">
        <f t="shared" ca="1" si="0"/>
        <v>#N/A</v>
      </c>
      <c r="O66" s="1882" t="s">
        <v>1038</v>
      </c>
      <c r="P66" s="1883" t="s">
        <v>1553</v>
      </c>
      <c r="Q66" s="1884" t="e">
        <f ca="1">L60</f>
        <v>#N/A</v>
      </c>
      <c r="R66" s="1884" t="s">
        <v>1576</v>
      </c>
    </row>
    <row r="67" spans="1:18" s="1840" customFormat="1" ht="16.5" thickBot="1">
      <c r="A67" s="1174" t="s">
        <v>1028</v>
      </c>
      <c r="B67" s="1184" t="s">
        <v>1458</v>
      </c>
      <c r="C67" s="360" t="e">
        <f ca="1">C48-C58</f>
        <v>#N/A</v>
      </c>
      <c r="D67" s="1180" t="s">
        <v>1459</v>
      </c>
      <c r="E67" s="1185"/>
      <c r="F67" s="1186"/>
      <c r="O67" s="1892" t="s">
        <v>1039</v>
      </c>
      <c r="P67" s="1883" t="s">
        <v>1557</v>
      </c>
      <c r="Q67" s="1931" t="e">
        <f ca="1">L51</f>
        <v>#N/A</v>
      </c>
      <c r="R67" s="1884" t="s">
        <v>1577</v>
      </c>
    </row>
    <row r="68" spans="1:18" s="1840" customFormat="1" ht="16.5" thickBot="1">
      <c r="A68" s="1164" t="s">
        <v>1029</v>
      </c>
      <c r="B68" s="1165" t="s">
        <v>1480</v>
      </c>
      <c r="C68" s="345" t="e">
        <f ca="1">ROUND(C67*(1-((1+F70)/(1+F68))^F69)/(F68-F70),0)</f>
        <v>#N/A</v>
      </c>
      <c r="D68" s="1182" t="s">
        <v>1464</v>
      </c>
      <c r="E68" s="1167" t="s">
        <v>1465</v>
      </c>
      <c r="F68" s="356" t="e">
        <f ca="1">F40</f>
        <v>#N/A</v>
      </c>
      <c r="O68" s="1892" t="s">
        <v>1040</v>
      </c>
      <c r="P68" s="1932" t="s">
        <v>1578</v>
      </c>
      <c r="Q68" s="1884" t="e">
        <f ca="1">ROUND(Q69-Q70*Q71,0)</f>
        <v>#N/A</v>
      </c>
      <c r="R68" s="1884" t="s">
        <v>1048</v>
      </c>
    </row>
    <row r="69" spans="1:18" s="1840" customFormat="1" ht="13.5" thickBot="1">
      <c r="A69" s="1168"/>
      <c r="B69" s="1169"/>
      <c r="C69" s="350"/>
      <c r="D69" s="1187" t="s">
        <v>1468</v>
      </c>
      <c r="E69" s="1167" t="s">
        <v>1469</v>
      </c>
      <c r="F69" s="378" t="e">
        <f ca="1">F41</f>
        <v>#N/A</v>
      </c>
      <c r="O69" s="1892" t="s">
        <v>1045</v>
      </c>
      <c r="P69" s="1932" t="s">
        <v>1579</v>
      </c>
      <c r="Q69" s="1884" t="e">
        <f ca="1">C39</f>
        <v>#N/A</v>
      </c>
      <c r="R69" s="1884" t="s">
        <v>1524</v>
      </c>
    </row>
    <row r="70" spans="1:18" s="1840" customFormat="1" ht="13.5" thickBot="1">
      <c r="A70" s="1171"/>
      <c r="B70" s="1172"/>
      <c r="C70" s="354"/>
      <c r="D70" s="1183"/>
      <c r="E70" s="1167" t="s">
        <v>1472</v>
      </c>
      <c r="F70" s="1273" t="e">
        <f ca="1">F42</f>
        <v>#N/A</v>
      </c>
      <c r="O70" s="1892" t="s">
        <v>1046</v>
      </c>
      <c r="P70" s="1932" t="s">
        <v>1580</v>
      </c>
      <c r="Q70" s="1884" t="e">
        <f ca="1">C13</f>
        <v>#N/A</v>
      </c>
      <c r="R70" s="1884" t="s">
        <v>1524</v>
      </c>
    </row>
    <row r="71" spans="1:18" s="1840" customFormat="1" ht="13.5" thickBot="1">
      <c r="A71" s="1188" t="s">
        <v>1030</v>
      </c>
      <c r="B71" s="1189" t="s">
        <v>1482</v>
      </c>
      <c r="C71" s="381" t="e">
        <f ca="1">ROUND(C68/F71,0)</f>
        <v>#N/A</v>
      </c>
      <c r="D71" s="1190" t="s">
        <v>1483</v>
      </c>
      <c r="E71" s="1191" t="s">
        <v>1484</v>
      </c>
      <c r="F71" s="384" t="e">
        <f ca="1">F43</f>
        <v>#N/A</v>
      </c>
      <c r="O71" s="1892" t="s">
        <v>1047</v>
      </c>
      <c r="P71" s="1932" t="s">
        <v>1581</v>
      </c>
      <c r="Q71" s="1895" t="e">
        <f ca="1">C76</f>
        <v>#N/A</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#N/A</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#N/A</v>
      </c>
      <c r="R74" s="1884" t="s">
        <v>1564</v>
      </c>
    </row>
    <row r="75" spans="1:18" ht="13.5" thickBot="1">
      <c r="A75" s="1840"/>
      <c r="B75" s="385" t="s">
        <v>1501</v>
      </c>
      <c r="C75" s="386" t="e">
        <f ca="1">ROUND(C13*C76,0)</f>
        <v>#N/A</v>
      </c>
      <c r="D75" s="1840"/>
      <c r="E75" s="1840"/>
      <c r="F75" s="1840"/>
      <c r="K75" s="1866"/>
      <c r="L75" s="1840"/>
      <c r="O75" s="1882" t="s">
        <v>1043</v>
      </c>
      <c r="P75" s="1883" t="s">
        <v>1544</v>
      </c>
      <c r="Q75" s="1884" t="e">
        <f ca="1">Q65+Q66</f>
        <v>#N/A</v>
      </c>
      <c r="R75" s="1884" t="s">
        <v>1044</v>
      </c>
    </row>
    <row r="76" spans="1:18">
      <c r="B76" s="387" t="s">
        <v>1502</v>
      </c>
      <c r="C76" s="388" t="e">
        <f ca="1">INDIRECT("'数据-取费表'!j"&amp;$G$1)</f>
        <v>#N/A</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A4" sqref="A4:J4"/>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0" customWidth="1"/>
    <col min="33" max="36" width="9.375" style="2790" customWidth="1"/>
    <col min="37" max="38" width="9.375" style="2722" customWidth="1"/>
    <col min="39" max="16384" width="12" style="2722"/>
  </cols>
  <sheetData>
    <row r="1" spans="1:36" ht="28.5">
      <c r="A1" s="239" t="s">
        <v>2804</v>
      </c>
      <c r="B1" s="240"/>
      <c r="C1" s="244" t="s">
        <v>2805</v>
      </c>
      <c r="D1" s="387">
        <f>SUM(D29:D30,D33:D39)</f>
        <v>0</v>
      </c>
      <c r="E1" s="2719"/>
      <c r="F1" s="2719"/>
      <c r="G1" s="2719"/>
      <c r="H1" s="2719"/>
      <c r="I1" s="2719"/>
      <c r="J1" s="2719"/>
      <c r="K1" s="1368"/>
      <c r="L1" s="2720" t="s">
        <v>2806</v>
      </c>
      <c r="M1" s="1078">
        <f>SUMPRODUCT((区片价!B5:B9=I2)*(区片价!C3:F3=E2)*(区片价!C5:F9))</f>
        <v>0</v>
      </c>
      <c r="N1" s="1081">
        <f>SUMPRODUCT((因素修正幅度!B5:B9=I2)*(因素修正幅度!C3:F3=E2)*(因素修正幅度!C5:F9))</f>
        <v>0</v>
      </c>
      <c r="O1" s="2721"/>
      <c r="P1" s="2721"/>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 ca="1">C26</f>
        <v>#VALUE!</v>
      </c>
      <c r="C2" s="2723" t="s">
        <v>2813</v>
      </c>
      <c r="D2" s="2724" t="s">
        <v>2814</v>
      </c>
      <c r="E2" s="2725" t="s">
        <v>27</v>
      </c>
      <c r="F2" s="2724" t="s">
        <v>2815</v>
      </c>
      <c r="G2" s="2726" t="str">
        <f>IF(E2="商业",项目基本情况!B37,IF(E2="办公",项目基本情况!C37,IF(E2="住宅",项目基本情况!D37,项目基本情况!E37)))</f>
        <v>二级</v>
      </c>
      <c r="H2" s="2724" t="s">
        <v>2816</v>
      </c>
      <c r="I2" s="2726" t="str">
        <f>IF(E2="商业",项目基本情况!B38,IF(E2="办公",项目基本情况!C38,IF(E2="住宅",项目基本情况!D38,项目基本情况!E38)))</f>
        <v>Ⅱ—16</v>
      </c>
      <c r="J2" s="2727"/>
      <c r="K2" s="1368"/>
      <c r="L2" s="2728" t="s">
        <v>2817</v>
      </c>
      <c r="M2" s="1079">
        <f>SUMPRODUCT((区片价!B10:B28=I2)*(区片价!C3:F3=E2)*(区片价!C10:F28))</f>
        <v>25850</v>
      </c>
      <c r="N2" s="1081">
        <f>SUMPRODUCT((因素修正幅度!B10:B28=I2)*(因素修正幅度!C3:F3=E2)*(因素修正幅度!C10:F28))</f>
        <v>0.1</v>
      </c>
      <c r="O2" s="1368"/>
      <c r="P2" s="1368"/>
      <c r="Q2" s="1368"/>
      <c r="R2" s="1600">
        <v>1</v>
      </c>
      <c r="S2" s="1600" t="e">
        <f>ROUND(IF(G3&gt;1,IF(R2&lt;7,SUMPRODUCT((B93:B98=R2)*(C92:N92=G2)*(C93:N98)),SUMIF(C92:N92,G2,C100:N100)),IF(R2&lt;7,SUMPRODUCT((B102:B107=R2)*(C92:N92=G2)*(C102:N107)),SUMIF(C92:N92,G2,C109:N109))),4)</f>
        <v>#DIV/0!</v>
      </c>
      <c r="T2" s="1600" t="e">
        <f ca="1">ROUND($C$5*$C$18*$C$19*$C$20*S2*$C$24,0)</f>
        <v>#VALUE!</v>
      </c>
      <c r="U2" s="1601"/>
      <c r="V2" s="1600" t="e">
        <f ca="1">ROUND(T2*U2/10000,0)</f>
        <v>#VALUE!</v>
      </c>
      <c r="W2" s="1604"/>
      <c r="X2" s="1604"/>
      <c r="Y2" s="1604"/>
      <c r="Z2" s="1604"/>
      <c r="AA2" s="1604"/>
      <c r="AB2" s="1604"/>
      <c r="AC2" s="1605"/>
      <c r="AD2" s="1606"/>
      <c r="AE2" s="1606"/>
      <c r="AF2" s="1606"/>
      <c r="AG2" s="1606"/>
      <c r="AH2" s="1606"/>
      <c r="AI2" s="1606"/>
      <c r="AJ2" s="1607"/>
    </row>
    <row r="3" spans="1:36" ht="25.5">
      <c r="A3" s="246" t="s">
        <v>2818</v>
      </c>
      <c r="B3" s="247" t="e">
        <f ca="1">ROUND(B2*10000/D1,0)</f>
        <v>#VALUE!</v>
      </c>
      <c r="C3" s="2723" t="s">
        <v>2819</v>
      </c>
      <c r="D3" s="2724" t="s">
        <v>2820</v>
      </c>
      <c r="E3" s="2729" t="s">
        <v>3083</v>
      </c>
      <c r="F3" s="2730" t="s">
        <v>2821</v>
      </c>
      <c r="G3" s="914" t="e">
        <f>IF(F3="宗地容积率",'数据-汇总表'!I4,IF(F3="估价对象容积率",'数据-汇总表'!I6,'数据-汇总表'!I7))</f>
        <v>#DIV/0!</v>
      </c>
      <c r="H3" s="197" t="s">
        <v>2822</v>
      </c>
      <c r="I3" s="942">
        <v>31</v>
      </c>
      <c r="J3" s="2727" t="s">
        <v>2823</v>
      </c>
      <c r="K3" s="1368"/>
      <c r="L3" s="2728" t="s">
        <v>2824</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ca="1" si="0">ROUND($C$5*$C$18*$C$19*$C$20*S3*$C$24,0)</f>
        <v>#VALUE!</v>
      </c>
      <c r="U3" s="1601"/>
      <c r="V3" s="1600" t="e">
        <f t="shared" ref="V3:V16" ca="1" si="1">ROUND(T3*U3/10000,0)</f>
        <v>#VALUE!</v>
      </c>
      <c r="W3" s="1604"/>
      <c r="X3" s="1604"/>
      <c r="Y3" s="1604"/>
      <c r="Z3" s="1604"/>
      <c r="AA3" s="1604"/>
      <c r="AB3" s="1604"/>
      <c r="AC3" s="1605"/>
      <c r="AD3" s="1606"/>
      <c r="AE3" s="1606"/>
      <c r="AF3" s="1606"/>
      <c r="AG3" s="1606"/>
      <c r="AH3" s="1606"/>
      <c r="AI3" s="1606"/>
      <c r="AJ3" s="1607"/>
    </row>
    <row r="4" spans="1:36" ht="15.75">
      <c r="A4" s="3304"/>
      <c r="B4" s="3305"/>
      <c r="C4" s="3305"/>
      <c r="D4" s="3306"/>
      <c r="E4" s="3306"/>
      <c r="F4" s="3306"/>
      <c r="G4" s="3306"/>
      <c r="H4" s="3306"/>
      <c r="I4" s="3306"/>
      <c r="J4" s="3307"/>
      <c r="K4" s="1368"/>
      <c r="L4" s="2728" t="s">
        <v>2825</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ca="1" si="0"/>
        <v>#VALUE!</v>
      </c>
      <c r="U4" s="1601"/>
      <c r="V4" s="1600" t="e">
        <f t="shared" ca="1" si="1"/>
        <v>#VALUE!</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2826</v>
      </c>
      <c r="C5" s="915">
        <f>ROUND(IF(E2="商业",C6*C7+C16,(IF(E2="住宅",C6*C12+C16,C6+C16))),0)</f>
        <v>25743</v>
      </c>
      <c r="D5" s="1785">
        <f>ROUND(C6+C16,0)</f>
        <v>25743</v>
      </c>
      <c r="E5" s="1785"/>
      <c r="F5" s="2733"/>
      <c r="G5" s="2734"/>
      <c r="H5" s="2734"/>
      <c r="I5" s="2734"/>
      <c r="J5" s="2735"/>
      <c r="K5" s="2736"/>
      <c r="L5" s="2728" t="s">
        <v>2827</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ca="1" si="0"/>
        <v>#VALUE!</v>
      </c>
      <c r="U5" s="1601"/>
      <c r="V5" s="1600" t="e">
        <f t="shared" ca="1" si="1"/>
        <v>#VALUE!</v>
      </c>
      <c r="W5" s="1604"/>
      <c r="X5" s="1604"/>
      <c r="Y5" s="1604"/>
      <c r="Z5" s="1604"/>
      <c r="AA5" s="1604"/>
      <c r="AB5" s="1604"/>
      <c r="AC5" s="2737"/>
      <c r="AD5" s="2738"/>
      <c r="AE5" s="2738"/>
      <c r="AF5" s="2738"/>
      <c r="AG5" s="2738"/>
      <c r="AH5" s="2738"/>
      <c r="AI5" s="2738"/>
      <c r="AJ5" s="2739"/>
    </row>
    <row r="6" spans="1:36" ht="15.75" thickBot="1">
      <c r="A6" s="2741" t="s">
        <v>2828</v>
      </c>
      <c r="B6" s="2742" t="s">
        <v>2829</v>
      </c>
      <c r="C6" s="916">
        <f>SUMIF(L1:L12,G2,M1:M12)</f>
        <v>25850</v>
      </c>
      <c r="D6" s="2743" t="s">
        <v>2830</v>
      </c>
      <c r="E6" s="2744"/>
      <c r="F6" s="2744"/>
      <c r="G6" s="2745"/>
      <c r="H6" s="2745"/>
      <c r="I6" s="2745"/>
      <c r="J6" s="2746"/>
      <c r="K6" s="1840"/>
      <c r="L6" s="2728" t="s">
        <v>2831</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ca="1" si="0"/>
        <v>#VALUE!</v>
      </c>
      <c r="U6" s="1601"/>
      <c r="V6" s="1600" t="e">
        <f t="shared" ca="1" si="1"/>
        <v>#VALUE!</v>
      </c>
      <c r="W6" s="1604"/>
      <c r="X6" s="1604"/>
      <c r="Y6" s="1604"/>
      <c r="Z6" s="1604"/>
      <c r="AA6" s="1604"/>
      <c r="AB6" s="1604"/>
      <c r="AC6" s="2737"/>
      <c r="AD6" s="2738"/>
      <c r="AE6" s="2738"/>
      <c r="AF6" s="2738"/>
      <c r="AG6" s="2738"/>
      <c r="AH6" s="2738"/>
      <c r="AI6" s="2738"/>
      <c r="AJ6" s="2739"/>
    </row>
    <row r="7" spans="1:36" ht="24">
      <c r="A7" s="3288" t="str">
        <f>IF(E2="商业",IF(C8="不临58条商业街","",2),"")</f>
        <v/>
      </c>
      <c r="B7" s="2747" t="s">
        <v>2832</v>
      </c>
      <c r="C7" s="917" t="e">
        <f>IF(C8="不临58条商业街",1,ROUND(1+(1.6*E8+1.2*E9+0.8*E10+0.4*E11)*C9,4))</f>
        <v>#DIV/0!</v>
      </c>
      <c r="D7" s="2748" t="s">
        <v>2833</v>
      </c>
      <c r="E7" s="943"/>
      <c r="F7" s="2749"/>
      <c r="G7" s="2750"/>
      <c r="H7" s="2750"/>
      <c r="I7" s="2750"/>
      <c r="J7" s="2751"/>
      <c r="K7" s="1840"/>
      <c r="L7" s="2728" t="s">
        <v>2834</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ca="1" si="0"/>
        <v>#VALUE!</v>
      </c>
      <c r="U7" s="1601"/>
      <c r="V7" s="1600" t="e">
        <f t="shared" ca="1" si="1"/>
        <v>#VALUE!</v>
      </c>
      <c r="W7" s="1814" t="s">
        <v>2835</v>
      </c>
      <c r="X7" s="1602" t="str">
        <f>G2</f>
        <v>二级</v>
      </c>
      <c r="Y7" s="1602" t="s">
        <v>2836</v>
      </c>
      <c r="Z7" s="1603" t="e">
        <f>G3</f>
        <v>#DIV/0!</v>
      </c>
      <c r="AA7" s="1604"/>
      <c r="AB7" s="1604"/>
      <c r="AC7" s="1605"/>
      <c r="AD7" s="1606"/>
      <c r="AE7" s="1606"/>
      <c r="AF7" s="1606"/>
      <c r="AG7" s="1606"/>
      <c r="AH7" s="1606"/>
      <c r="AI7" s="1606"/>
      <c r="AJ7" s="1607"/>
    </row>
    <row r="8" spans="1:36" ht="15">
      <c r="A8" s="3308"/>
      <c r="B8" s="197" t="s">
        <v>2837</v>
      </c>
      <c r="C8" s="2752"/>
      <c r="D8" s="918" t="s">
        <v>139</v>
      </c>
      <c r="E8" s="919" t="e">
        <f>ROUND(C11/E7,4)</f>
        <v>#DIV/0!</v>
      </c>
      <c r="F8" s="2753" t="s">
        <v>2838</v>
      </c>
      <c r="G8" s="2754"/>
      <c r="H8" s="2754"/>
      <c r="I8" s="2754"/>
      <c r="J8" s="2755"/>
      <c r="K8" s="1368"/>
      <c r="L8" s="2728"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#VALUE!</v>
      </c>
      <c r="U8" s="1601"/>
      <c r="V8" s="1600" t="e">
        <f t="shared" ca="1" si="1"/>
        <v>#VALUE!</v>
      </c>
      <c r="W8" s="3301" t="s">
        <v>2840</v>
      </c>
      <c r="X8" s="3302"/>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308"/>
      <c r="B9" s="197" t="s">
        <v>2853</v>
      </c>
      <c r="C9" s="920">
        <f>SUMIF(修正!C59:C119,C8,修正!E59:E119)</f>
        <v>0</v>
      </c>
      <c r="D9" s="199" t="s">
        <v>140</v>
      </c>
      <c r="E9" s="199" t="e">
        <f>ROUND(C11/E7,4)</f>
        <v>#DIV/0!</v>
      </c>
      <c r="F9" s="2753" t="s">
        <v>2854</v>
      </c>
      <c r="G9" s="2754"/>
      <c r="H9" s="2754"/>
      <c r="I9" s="2754"/>
      <c r="J9" s="2755"/>
      <c r="K9" s="1368"/>
      <c r="L9" s="2728"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#VALUE!</v>
      </c>
      <c r="U9" s="1601"/>
      <c r="V9" s="1600" t="e">
        <f t="shared" ca="1" si="1"/>
        <v>#VALUE!</v>
      </c>
      <c r="W9" s="3303"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8"/>
      <c r="B10" s="197" t="s">
        <v>2858</v>
      </c>
      <c r="C10" s="199">
        <f>SUMIF(修正!C59:C119,C8,修正!F59:F119)</f>
        <v>0</v>
      </c>
      <c r="D10" s="199" t="s">
        <v>141</v>
      </c>
      <c r="E10" s="199" t="e">
        <f>ROUND(C11/E7,4)</f>
        <v>#DIV/0!</v>
      </c>
      <c r="F10" s="2753" t="s">
        <v>2859</v>
      </c>
      <c r="G10" s="2754"/>
      <c r="H10" s="2754"/>
      <c r="I10" s="2754"/>
      <c r="J10" s="2755"/>
      <c r="K10" s="1368"/>
      <c r="L10" s="2728"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#VALUE!</v>
      </c>
      <c r="U10" s="1601"/>
      <c r="V10" s="1600" t="e">
        <f t="shared" ca="1" si="1"/>
        <v>#VALUE!</v>
      </c>
      <c r="W10" s="330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8"/>
      <c r="B11" s="2756" t="s">
        <v>2861</v>
      </c>
      <c r="C11" s="921">
        <f>C10/4</f>
        <v>0</v>
      </c>
      <c r="D11" s="921" t="s">
        <v>142</v>
      </c>
      <c r="E11" s="921" t="e">
        <f>ROUND(C11/E7,4)</f>
        <v>#DIV/0!</v>
      </c>
      <c r="F11" s="2757" t="s">
        <v>2862</v>
      </c>
      <c r="G11" s="2758"/>
      <c r="H11" s="2758"/>
      <c r="I11" s="2758"/>
      <c r="J11" s="2759"/>
      <c r="K11" s="1368"/>
      <c r="L11" s="2728"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#VALUE!</v>
      </c>
      <c r="U11" s="1601"/>
      <c r="V11" s="1600" t="e">
        <f t="shared" ca="1" si="1"/>
        <v>#VALUE!</v>
      </c>
      <c r="W11" s="3303" t="s">
        <v>2864</v>
      </c>
      <c r="X11" s="1612" t="s">
        <v>2865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88" t="s">
        <v>2866</v>
      </c>
      <c r="B12" s="2760" t="s">
        <v>2867</v>
      </c>
      <c r="C12" s="917">
        <f>ROUND(C15*D15*E15*F15*G15*H15*I15*J15,4)</f>
        <v>1</v>
      </c>
      <c r="D12" s="2761" t="s">
        <v>2868</v>
      </c>
      <c r="E12" s="2762"/>
      <c r="F12" s="2762"/>
      <c r="G12" s="2763"/>
      <c r="H12" s="2763"/>
      <c r="I12" s="2763"/>
      <c r="J12" s="2764"/>
      <c r="K12" s="1368"/>
      <c r="L12" s="2765"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#VALUE!</v>
      </c>
      <c r="U12" s="1601"/>
      <c r="V12" s="1600" t="e">
        <f t="shared" ca="1" si="1"/>
        <v>#VALUE!</v>
      </c>
      <c r="W12" s="3303"/>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9"/>
      <c r="B13" s="2766" t="s">
        <v>2871</v>
      </c>
      <c r="C13" s="2767" t="s">
        <v>2872</v>
      </c>
      <c r="D13" s="1806" t="s">
        <v>2873</v>
      </c>
      <c r="E13" s="1806" t="s">
        <v>2874</v>
      </c>
      <c r="F13" s="29" t="s">
        <v>2875</v>
      </c>
      <c r="G13" s="2768" t="s">
        <v>2876</v>
      </c>
      <c r="H13" s="2768" t="s">
        <v>2876</v>
      </c>
      <c r="I13" s="2768" t="s">
        <v>2876</v>
      </c>
      <c r="J13" s="2769" t="s">
        <v>2876</v>
      </c>
      <c r="K13" s="1368"/>
      <c r="L13" s="1368"/>
      <c r="M13" s="1368"/>
      <c r="N13" s="1368"/>
      <c r="O13" s="1368"/>
      <c r="P13" s="1368"/>
      <c r="Q13" s="1368"/>
      <c r="R13" s="1600">
        <v>12</v>
      </c>
      <c r="S13" s="1601"/>
      <c r="T13" s="1600" t="e">
        <f t="shared" ca="1" si="0"/>
        <v>#VALUE!</v>
      </c>
      <c r="U13" s="1601"/>
      <c r="V13" s="1600" t="e">
        <f t="shared" ca="1" si="1"/>
        <v>#VALUE!</v>
      </c>
      <c r="W13" s="330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09"/>
      <c r="B14" s="2770"/>
      <c r="C14" s="2771"/>
      <c r="D14" s="2772"/>
      <c r="E14" s="2772"/>
      <c r="F14" s="2773"/>
      <c r="G14" s="2774" t="s">
        <v>2877</v>
      </c>
      <c r="H14" s="2775"/>
      <c r="I14" s="2776"/>
      <c r="J14" s="2777"/>
      <c r="K14" s="1368"/>
      <c r="L14" s="1368"/>
      <c r="M14" s="1368"/>
      <c r="N14" s="1368"/>
      <c r="O14" s="1368"/>
      <c r="P14" s="1368"/>
      <c r="Q14" s="1368"/>
      <c r="R14" s="1600">
        <v>13</v>
      </c>
      <c r="S14" s="1601"/>
      <c r="T14" s="1600" t="e">
        <f t="shared" ca="1" si="0"/>
        <v>#VALUE!</v>
      </c>
      <c r="U14" s="1601"/>
      <c r="V14" s="1600" t="e">
        <f t="shared" ca="1" si="1"/>
        <v>#VALUE!</v>
      </c>
      <c r="W14" s="1604"/>
      <c r="X14" s="1604"/>
      <c r="Y14" s="1604"/>
      <c r="Z14" s="1604"/>
      <c r="AA14" s="1604"/>
      <c r="AB14" s="1604"/>
      <c r="AC14" s="1605"/>
      <c r="AD14" s="1606"/>
      <c r="AE14" s="1606"/>
      <c r="AF14" s="1606"/>
      <c r="AG14" s="1606"/>
      <c r="AH14" s="1606"/>
      <c r="AI14" s="1606"/>
      <c r="AJ14" s="1607"/>
    </row>
    <row r="15" spans="1:36" ht="15.75" thickBot="1">
      <c r="A15" s="3310"/>
      <c r="B15" s="2778" t="s">
        <v>2878</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ca="1" si="0"/>
        <v>#VALUE!</v>
      </c>
      <c r="U15" s="1601"/>
      <c r="V15" s="1600" t="e">
        <f t="shared" ca="1" si="1"/>
        <v>#VALUE!</v>
      </c>
      <c r="W15" s="1604"/>
      <c r="X15" s="1604"/>
      <c r="Y15" s="1604"/>
      <c r="Z15" s="1604"/>
      <c r="AA15" s="1604"/>
      <c r="AB15" s="1604"/>
      <c r="AC15" s="1605"/>
      <c r="AD15" s="1606"/>
      <c r="AE15" s="1606"/>
      <c r="AF15" s="1606"/>
      <c r="AG15" s="1606"/>
      <c r="AH15" s="1606"/>
      <c r="AI15" s="1606"/>
      <c r="AJ15" s="1607"/>
    </row>
    <row r="16" spans="1:36" ht="24.6" customHeight="1">
      <c r="A16" s="3288" t="s">
        <v>2883</v>
      </c>
      <c r="B16" s="2747" t="s">
        <v>2884</v>
      </c>
      <c r="C16" s="2934">
        <f>ROUND(IF(F17="与级别开发程度一致",0,(G17-E17)/C17),0)</f>
        <v>-107</v>
      </c>
      <c r="D16" s="3299" t="s">
        <v>2888</v>
      </c>
      <c r="E16" s="3300"/>
      <c r="F16" s="3299" t="s">
        <v>2885</v>
      </c>
      <c r="G16" s="3300"/>
      <c r="H16" s="2781"/>
      <c r="I16" s="2781"/>
      <c r="J16" s="2938"/>
      <c r="K16" s="2781"/>
      <c r="L16" s="2781"/>
      <c r="M16" s="2781"/>
      <c r="N16" s="2781"/>
      <c r="O16" s="2782"/>
      <c r="Q16" s="1368"/>
      <c r="R16" s="1600">
        <v>15</v>
      </c>
      <c r="S16" s="1601"/>
      <c r="T16" s="1600" t="e">
        <f t="shared" ca="1" si="0"/>
        <v>#VALUE!</v>
      </c>
      <c r="U16" s="1601"/>
      <c r="V16" s="1600" t="e">
        <f t="shared" ca="1" si="1"/>
        <v>#VALUE!</v>
      </c>
      <c r="W16" s="1604"/>
      <c r="X16" s="1604"/>
      <c r="Y16" s="1604"/>
      <c r="Z16" s="1604"/>
      <c r="AA16" s="1604"/>
      <c r="AB16" s="1604"/>
      <c r="AC16" s="1605"/>
      <c r="AD16" s="1606"/>
      <c r="AE16" s="1606"/>
      <c r="AF16" s="1606"/>
      <c r="AG16" s="1606"/>
      <c r="AH16" s="1606"/>
      <c r="AI16" s="1606"/>
      <c r="AJ16" s="1607"/>
    </row>
    <row r="17" spans="1:37" ht="13.5" thickBot="1">
      <c r="A17" s="3289"/>
      <c r="B17" s="2945" t="s">
        <v>2887</v>
      </c>
      <c r="C17" s="2946">
        <f>SUMPRODUCT((修正!A2:A5=E2)*(修正!B1:M1=G2)*(修正!B2:M5))</f>
        <v>3.5</v>
      </c>
      <c r="D17" s="228" t="str">
        <f>IF(OR(G2="八级",G2="九级",G2="十级",G2="十一级",G2="十二级"),"五通一平","七通一平")</f>
        <v>七通一平</v>
      </c>
      <c r="E17" s="2935">
        <f>SUMPRODUCT((修正!B1:M1=G2)*(修正!B15:M15))</f>
        <v>375</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8"/>
      <c r="R17" s="1368"/>
      <c r="S17" s="1368"/>
      <c r="T17" s="1368"/>
      <c r="U17" s="1368"/>
      <c r="V17" s="1368"/>
      <c r="W17" s="1368"/>
      <c r="X17" s="1368"/>
      <c r="Y17" s="1368"/>
      <c r="Z17" s="1369"/>
      <c r="AE17" s="2785"/>
      <c r="AF17" s="2785"/>
      <c r="AG17" s="2722"/>
      <c r="AH17" s="2722"/>
      <c r="AI17" s="2722"/>
      <c r="AJ17" s="2722"/>
    </row>
    <row r="18" spans="1:37" s="2740" customFormat="1" ht="15.75" thickBot="1">
      <c r="A18" s="2939" t="s">
        <v>808</v>
      </c>
      <c r="B18" s="2940" t="s">
        <v>2890</v>
      </c>
      <c r="C18" s="2941">
        <f>SUMIF(修正!C18:C39,E3,修正!E18:E39)</f>
        <v>1</v>
      </c>
      <c r="D18" s="2942"/>
      <c r="E18" s="2943"/>
      <c r="F18" s="2943"/>
      <c r="G18" s="2943"/>
      <c r="H18" s="2943"/>
      <c r="I18" s="2943"/>
      <c r="J18" s="2944"/>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40" customFormat="1" ht="27.75" thickBot="1">
      <c r="A19" s="2786" t="s">
        <v>809</v>
      </c>
      <c r="B19" s="2787" t="s">
        <v>2891</v>
      </c>
      <c r="C19" s="922" t="e">
        <f>ROUND(IF(H19="按公示增长率计算",SUMPRODUCT((地价!A3:A27=YEAR(G19)&amp;"-"&amp;ROUNDUP(MONTH(G19)/3,0))*(地价!X2:AB2=E2)*(地价!X3:AB27)),IF(H19="地价指数",M20/M19,(1+I19)^O19)),4)</f>
        <v>#VALUE!</v>
      </c>
      <c r="D19" s="2791" t="s">
        <v>2892</v>
      </c>
      <c r="E19" s="923">
        <v>41640</v>
      </c>
      <c r="F19" s="2791" t="s">
        <v>2893</v>
      </c>
      <c r="G19" s="924">
        <f>'数据-取费表'!B2</f>
        <v>43656</v>
      </c>
      <c r="H19" s="2792"/>
      <c r="I19" s="925" t="str">
        <f>IF(H19="季度增幅（自定义）",SUMIF(N21:N24,E2,O21:O24),"")</f>
        <v/>
      </c>
      <c r="J19" s="2789"/>
      <c r="K19" s="1375"/>
      <c r="L19" s="2793" t="s">
        <v>2894</v>
      </c>
      <c r="M19" s="1732">
        <f>ROUND(SUMIF(地价!B2:F2,E2,地价!B27:F27),0)</f>
        <v>258</v>
      </c>
      <c r="N19" s="2794" t="s">
        <v>2895</v>
      </c>
      <c r="O19" s="926">
        <f>ROUNDDOWN(DATEDIF(E19,G19,"M")/3,0)</f>
        <v>22</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40" customFormat="1" ht="27.75" thickBot="1">
      <c r="A20" s="2798" t="s">
        <v>810</v>
      </c>
      <c r="B20" s="2799" t="s">
        <v>2896</v>
      </c>
      <c r="C20" s="927" t="e">
        <f ca="1">ROUND(POWER(1+G20,J20-I20)*(POWER(1+G20,I20)-1)/(POWER(1+G20,J20)-1),4)</f>
        <v>#DIV/0!</v>
      </c>
      <c r="D20" s="2800" t="s">
        <v>2897</v>
      </c>
      <c r="E20" s="1766">
        <f ca="1">存贷款利率!D4/100</f>
        <v>4.3499999999999997E-2</v>
      </c>
      <c r="F20" s="2800" t="s">
        <v>2889</v>
      </c>
      <c r="G20" s="932">
        <f ca="1">SUMIF(M26:P26,E2,M28:P28)</f>
        <v>5.1999999999999998E-2</v>
      </c>
      <c r="H20" s="2800" t="s">
        <v>2898</v>
      </c>
      <c r="I20" s="933" t="e">
        <f>SUMIF('数据-取费表'!C6:C15,E2,'数据-取费表'!F6:F15)/COUNTIF('数据-取费表'!C6:C15,E2)</f>
        <v>#DIV/0!</v>
      </c>
      <c r="J20" s="934">
        <f>IF(E2="住宅",70,IF(E2="商业",40,50))</f>
        <v>50</v>
      </c>
      <c r="K20" s="1375"/>
      <c r="L20" s="2801" t="s">
        <v>2899</v>
      </c>
      <c r="M20" s="1733">
        <f>ROUND(SUMPRODUCT((地价!A4:A27=YEAR(G19)&amp;"-"&amp;ROUNDUP(MONTH(G19)/3,0))*(地价!B2:F2=E2)*(地价!B4:F27)),0)</f>
        <v>350</v>
      </c>
      <c r="N20" s="2802" t="s">
        <v>2900</v>
      </c>
      <c r="O20" s="2803" t="s">
        <v>2901</v>
      </c>
      <c r="P20" s="2804" t="s">
        <v>2902</v>
      </c>
      <c r="R20" s="1374"/>
      <c r="S20" s="1374"/>
      <c r="T20" s="1369"/>
      <c r="U20" s="1369"/>
      <c r="V20" s="1369"/>
      <c r="W20" s="1368"/>
      <c r="X20" s="1368"/>
      <c r="Y20" s="1368"/>
      <c r="Z20" s="1375"/>
      <c r="AA20" s="1376"/>
      <c r="AB20" s="1376"/>
      <c r="AC20" s="1376"/>
      <c r="AD20" s="1376"/>
      <c r="AE20" s="1376"/>
      <c r="AF20" s="1376"/>
    </row>
    <row r="21" spans="1:37" s="2740" customFormat="1" ht="15">
      <c r="A21" s="2805" t="s">
        <v>811</v>
      </c>
      <c r="B21" s="2806" t="s">
        <v>2903</v>
      </c>
      <c r="C21" s="935" t="e">
        <f>IF(B21="容积率修正",IF(G3&lt;=10,D22,J22),C23)</f>
        <v>#DIV/0!</v>
      </c>
      <c r="D21" s="2807"/>
      <c r="E21" s="2807"/>
      <c r="F21" s="2807"/>
      <c r="G21" s="2807"/>
      <c r="H21" s="2807"/>
      <c r="I21" s="2807"/>
      <c r="J21" s="2808"/>
      <c r="K21" s="1375"/>
      <c r="N21" s="2809" t="s">
        <v>2904</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40" customFormat="1" ht="14.25">
      <c r="A22" s="2666" t="s">
        <v>2905</v>
      </c>
      <c r="B22" s="2810" t="s">
        <v>2906</v>
      </c>
      <c r="C22" s="1808" t="s">
        <v>2907</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9" t="s">
        <v>2908</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6" t="s">
        <v>2909</v>
      </c>
      <c r="B23" s="2811" t="s">
        <v>2910</v>
      </c>
      <c r="C23" s="1011" t="e">
        <f>ROUND(IF(G3&gt;1,IF(I3&lt;7,SUMPRODUCT((B93:B98=I3)*(C92:N92=G2)*(C93:N98)),SUMIF(C92:N92,G2,C100:N100)),IF(I3&lt;7,SUMPRODUCT((B102:B107=I3)*(C92:N92=G2)*(C102:N107)),SUMIF(C92:N92,G2,C109:N109))),4)</f>
        <v>#DIV/0!</v>
      </c>
      <c r="D23" s="2775"/>
      <c r="E23" s="2775"/>
      <c r="F23" s="2812"/>
      <c r="G23" s="2813"/>
      <c r="H23" s="2814"/>
      <c r="I23" s="2815"/>
      <c r="J23" s="2816"/>
      <c r="K23" s="1368"/>
      <c r="N23" s="2809" t="s">
        <v>2911</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90"/>
    </row>
    <row r="24" spans="1:37" s="2740" customFormat="1" ht="15.75" thickBot="1">
      <c r="A24" s="2798" t="s">
        <v>812</v>
      </c>
      <c r="B24" s="2787" t="s">
        <v>2912</v>
      </c>
      <c r="C24" s="922">
        <f>SUMIF(A45:A88,E2,B45:B88)</f>
        <v>1</v>
      </c>
      <c r="D24" s="2788"/>
      <c r="E24" s="2817"/>
      <c r="F24" s="2817"/>
      <c r="G24" s="2817"/>
      <c r="H24" s="2817"/>
      <c r="I24" s="2817"/>
      <c r="J24" s="2818"/>
      <c r="K24" s="1375"/>
      <c r="N24" s="2819" t="s">
        <v>2913</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2914</v>
      </c>
      <c r="C25" s="928"/>
      <c r="D25" s="2750"/>
      <c r="E25" s="2750"/>
      <c r="F25" s="2821"/>
      <c r="G25" s="2750"/>
      <c r="H25" s="2750"/>
      <c r="I25" s="2750"/>
      <c r="J25" s="2751"/>
      <c r="K25" s="1368"/>
      <c r="N25" s="2822" t="s">
        <v>2915</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3"/>
      <c r="B26" s="2810" t="s">
        <v>2916</v>
      </c>
      <c r="C26" s="205" t="e">
        <f ca="1">E29+SUM(E33:E39)</f>
        <v>#VALUE!</v>
      </c>
      <c r="D26" s="2824"/>
      <c r="E26" s="2775"/>
      <c r="F26" s="2825"/>
      <c r="G26" s="2775"/>
      <c r="H26" s="2775"/>
      <c r="I26" s="2775"/>
      <c r="J26" s="2826"/>
      <c r="K26" s="1368"/>
      <c r="L26" s="2779" t="s">
        <v>2814</v>
      </c>
      <c r="M26" s="918" t="s">
        <v>2879</v>
      </c>
      <c r="N26" s="918" t="s">
        <v>2880</v>
      </c>
      <c r="O26" s="918" t="s">
        <v>2881</v>
      </c>
      <c r="P26" s="2780" t="s">
        <v>2882</v>
      </c>
      <c r="R26" s="1374"/>
      <c r="S26" s="1374"/>
      <c r="T26" s="1369"/>
      <c r="U26" s="1369"/>
      <c r="V26" s="1369"/>
      <c r="W26" s="1368"/>
      <c r="X26" s="1368"/>
      <c r="Y26" s="1368"/>
      <c r="Z26" s="1375"/>
      <c r="AA26" s="1376"/>
      <c r="AB26" s="1376"/>
      <c r="AC26" s="1376"/>
      <c r="AD26" s="1376"/>
    </row>
    <row r="27" spans="1:37" ht="15.75" thickBot="1">
      <c r="A27" s="2823"/>
      <c r="B27" s="2827" t="s">
        <v>2917</v>
      </c>
      <c r="C27" s="929" t="e">
        <f ca="1">E30+SUM(I33:I39)</f>
        <v>#VALUE!</v>
      </c>
      <c r="D27" s="2828"/>
      <c r="E27" s="2829"/>
      <c r="F27" s="2830"/>
      <c r="G27" s="2829"/>
      <c r="H27" s="2829"/>
      <c r="I27" s="2829"/>
      <c r="J27" s="2831"/>
      <c r="K27" s="1368"/>
      <c r="L27" s="2783" t="s">
        <v>2886</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2"/>
      <c r="B28" s="2833" t="s">
        <v>2918</v>
      </c>
      <c r="C28" s="2834" t="s">
        <v>2919</v>
      </c>
      <c r="D28" s="2834" t="s">
        <v>2920</v>
      </c>
      <c r="E28" s="2835" t="s">
        <v>2921</v>
      </c>
      <c r="F28" s="2836"/>
      <c r="G28" s="2763"/>
      <c r="H28" s="2763"/>
      <c r="I28" s="2763"/>
      <c r="J28" s="2764"/>
      <c r="K28" s="1368"/>
      <c r="L28" s="2784" t="s">
        <v>2889</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7"/>
      <c r="B29" s="2838" t="s">
        <v>2922</v>
      </c>
      <c r="C29" s="205" t="e">
        <f ca="1">ROUND(C5*C18*C19*C20*C21*C24,0)</f>
        <v>#VALUE!</v>
      </c>
      <c r="D29" s="2839"/>
      <c r="E29" s="940" t="e">
        <f ca="1">ROUND(C29*D29/10000,0)</f>
        <v>#VALUE!</v>
      </c>
      <c r="F29" s="2840" t="s">
        <v>2923</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22"/>
      <c r="AH29" s="2722"/>
      <c r="AI29" s="2722"/>
      <c r="AJ29" s="2722"/>
    </row>
    <row r="30" spans="1:37" ht="25.5" thickBot="1">
      <c r="A30" s="2843"/>
      <c r="B30" s="2844" t="s">
        <v>2924</v>
      </c>
      <c r="C30" s="228" t="e">
        <f ca="1">ROUND(IF(E2="工业",C29*M39,C29*M38),0)</f>
        <v>#VALUE!</v>
      </c>
      <c r="D30" s="2845"/>
      <c r="E30" s="940" t="e">
        <f ca="1">ROUND(C30*D30/10000,0)</f>
        <v>#VALUE!</v>
      </c>
      <c r="F30" s="2846" t="s">
        <v>2925</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22"/>
      <c r="AH31" s="2722"/>
      <c r="AI31" s="2722"/>
      <c r="AJ31" s="2722"/>
    </row>
    <row r="32" spans="1:37" ht="24">
      <c r="A32" s="2837"/>
      <c r="B32" s="2853"/>
      <c r="C32" s="500" t="s">
        <v>2919</v>
      </c>
      <c r="D32" s="497" t="s">
        <v>2920</v>
      </c>
      <c r="E32" s="497" t="s">
        <v>2921</v>
      </c>
      <c r="F32" s="387" t="s">
        <v>2929</v>
      </c>
      <c r="G32" s="2854" t="s">
        <v>2919</v>
      </c>
      <c r="H32" s="2854" t="s">
        <v>2920</v>
      </c>
      <c r="I32" s="2854" t="s">
        <v>2921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22"/>
      <c r="AH32" s="2722"/>
      <c r="AI32" s="2722"/>
      <c r="AJ32" s="2722"/>
    </row>
    <row r="33" spans="1:37" ht="36" customHeight="1">
      <c r="A33" s="3296" t="s">
        <v>2930</v>
      </c>
      <c r="B33" s="2855" t="s">
        <v>2931</v>
      </c>
      <c r="C33" s="205" t="e">
        <f ca="1">ROUND(D5*C19*C20*C24*F33,0)</f>
        <v>#VALUE!</v>
      </c>
      <c r="D33" s="2839"/>
      <c r="E33" s="199" t="e">
        <f ca="1">ROUND(C33*D33/10000,0)</f>
        <v>#VALUE!</v>
      </c>
      <c r="F33" s="199">
        <f>SUMIF(修正!A45:A56,G2,修正!B45:B56)</f>
        <v>0.8</v>
      </c>
      <c r="G33" s="199" t="e">
        <f t="shared" ref="G33" ca="1" si="6">ROUND(IF(E2="工业",C33*$M$39,C33*$M$38),0)</f>
        <v>#VALUE!</v>
      </c>
      <c r="H33" s="199">
        <f>D33</f>
        <v>0</v>
      </c>
      <c r="I33" s="199" t="e">
        <f ca="1">ROUND(G33*H33/10000,0)</f>
        <v>#VALUE!</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7"/>
      <c r="B34" s="2767" t="s">
        <v>2932</v>
      </c>
      <c r="C34" s="205" t="e">
        <f ca="1">ROUND(D5*C19*C20*C24*F34,0)</f>
        <v>#VALUE!</v>
      </c>
      <c r="D34" s="2839"/>
      <c r="E34" s="199" t="e">
        <f t="shared" ref="E34:E39" ca="1" si="7">ROUND(C34*D34/10000,0)</f>
        <v>#VALUE!</v>
      </c>
      <c r="F34" s="199">
        <f>SUMIF(修正!A45:A56,G2,修正!C45:C56)</f>
        <v>0.5</v>
      </c>
      <c r="G34" s="199" t="e">
        <f ca="1">ROUND(IF(E2="工业",C34*$M$39,C34*$M$38),0)</f>
        <v>#VALUE!</v>
      </c>
      <c r="H34" s="199">
        <f t="shared" ref="H34:H39" si="8">D34</f>
        <v>0</v>
      </c>
      <c r="I34" s="199" t="e">
        <f t="shared" ref="I34:I39" ca="1" si="9">ROUND(G34*H34/10000,0)</f>
        <v>#VALUE!</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7"/>
      <c r="B35" s="2767" t="s">
        <v>2933</v>
      </c>
      <c r="C35" s="205" t="e">
        <f ca="1">ROUND(D5*C19*C20*C24*F35,0)</f>
        <v>#VALUE!</v>
      </c>
      <c r="D35" s="2839"/>
      <c r="E35" s="199" t="e">
        <f t="shared" ca="1" si="7"/>
        <v>#VALUE!</v>
      </c>
      <c r="F35" s="199">
        <f>SUMIF(修正!A45:A56,G2,修正!D45:D56)</f>
        <v>0.36</v>
      </c>
      <c r="G35" s="199" t="e">
        <f ca="1">ROUND(IF(E2="工业",C35*$M$39,C35*$M$38),0)</f>
        <v>#VALUE!</v>
      </c>
      <c r="H35" s="199">
        <f t="shared" si="8"/>
        <v>0</v>
      </c>
      <c r="I35" s="199" t="e">
        <f t="shared" ca="1" si="9"/>
        <v>#VALUE!</v>
      </c>
      <c r="J35" s="2856"/>
      <c r="K35" s="1368"/>
      <c r="L35" s="1368"/>
      <c r="M35" s="1368"/>
      <c r="N35" s="1368"/>
      <c r="O35" s="1368"/>
      <c r="P35" s="1368"/>
      <c r="Q35" s="1368"/>
      <c r="R35" s="1368"/>
      <c r="S35" s="1368"/>
      <c r="T35" s="1368"/>
      <c r="U35" s="1368"/>
      <c r="V35" s="1368"/>
      <c r="W35" s="1368"/>
      <c r="X35" s="1368"/>
      <c r="Y35" s="1368"/>
      <c r="Z35" s="1369"/>
    </row>
    <row r="36" spans="1:37" ht="13.5" thickBot="1">
      <c r="A36" s="3298"/>
      <c r="B36" s="2767" t="s">
        <v>2934</v>
      </c>
      <c r="C36" s="205" t="e">
        <f ca="1">ROUND(D5*C19*C20*C24*F36,0)</f>
        <v>#VALUE!</v>
      </c>
      <c r="D36" s="2839"/>
      <c r="E36" s="199" t="e">
        <f t="shared" ca="1" si="7"/>
        <v>#VALUE!</v>
      </c>
      <c r="F36" s="199">
        <f>SUMIF(修正!A45:A56,G2,修正!E45:E56)</f>
        <v>0.3</v>
      </c>
      <c r="G36" s="199" t="e">
        <f ca="1">ROUND(IF(E2="工业",C36*$M$39,C36*$M$38),0)</f>
        <v>#VALUE!</v>
      </c>
      <c r="H36" s="199">
        <f t="shared" si="8"/>
        <v>0</v>
      </c>
      <c r="I36" s="199" t="e">
        <f t="shared" ca="1" si="9"/>
        <v>#VALUE!</v>
      </c>
      <c r="J36" s="2856"/>
      <c r="K36" s="1368"/>
      <c r="L36" s="2721"/>
      <c r="M36" s="2721"/>
      <c r="N36" s="1368"/>
      <c r="O36" s="1368"/>
      <c r="P36" s="1368"/>
      <c r="Q36" s="1368"/>
      <c r="R36" s="1368"/>
      <c r="S36" s="1368"/>
      <c r="T36" s="1368"/>
      <c r="U36" s="1368"/>
      <c r="V36" s="1368"/>
      <c r="W36" s="1368"/>
      <c r="X36" s="1368"/>
      <c r="Y36" s="1368"/>
      <c r="Z36" s="1369"/>
    </row>
    <row r="37" spans="1:37">
      <c r="A37" s="2857"/>
      <c r="B37" s="2767" t="s">
        <v>2935</v>
      </c>
      <c r="C37" s="199" t="e">
        <f ca="1">ROUND(D5*C19*C20*C24*F37,0)</f>
        <v>#VALUE!</v>
      </c>
      <c r="D37" s="2839"/>
      <c r="E37" s="199" t="e">
        <f t="shared" ca="1" si="7"/>
        <v>#VALUE!</v>
      </c>
      <c r="F37" s="205">
        <f>SUMIF(修正!A45:A56,G2,修正!F45:F56)</f>
        <v>0.3</v>
      </c>
      <c r="G37" s="199" t="e">
        <f ca="1">ROUND(IF(E2="工业",C37*$M$39,C37*$M$38),0)</f>
        <v>#VALUE!</v>
      </c>
      <c r="H37" s="199">
        <f t="shared" si="8"/>
        <v>0</v>
      </c>
      <c r="I37" s="199" t="e">
        <f t="shared" ca="1" si="9"/>
        <v>#VALUE!</v>
      </c>
      <c r="J37" s="2856"/>
      <c r="K37" s="1368"/>
      <c r="L37" s="2858" t="s">
        <v>2936</v>
      </c>
      <c r="M37" s="2859"/>
      <c r="N37" s="1368"/>
      <c r="O37" s="1368"/>
      <c r="P37" s="1368"/>
      <c r="Q37" s="1368"/>
      <c r="R37" s="1368"/>
      <c r="S37" s="1368"/>
      <c r="T37" s="1368"/>
      <c r="U37" s="1368"/>
      <c r="V37" s="1368"/>
      <c r="W37" s="1368"/>
      <c r="X37" s="1368"/>
      <c r="Y37" s="1368"/>
      <c r="Z37" s="1369"/>
    </row>
    <row r="38" spans="1:37">
      <c r="A38" s="2857"/>
      <c r="B38" s="2767" t="s">
        <v>2937</v>
      </c>
      <c r="C38" s="199" t="e">
        <f ca="1">ROUND(D5*C19*C41*C24*F38,0)</f>
        <v>#VALUE!</v>
      </c>
      <c r="D38" s="2839"/>
      <c r="E38" s="199" t="e">
        <f t="shared" ca="1" si="7"/>
        <v>#VALUE!</v>
      </c>
      <c r="F38" s="205">
        <f>SUMIF(修正!A45:A56,G2,修正!G45:G56)</f>
        <v>0.3</v>
      </c>
      <c r="G38" s="199" t="e">
        <f ca="1">ROUND(IF(E2="工业",C38*$M$39,C38*$M$38),0)</f>
        <v>#VALUE!</v>
      </c>
      <c r="H38" s="199">
        <f t="shared" si="8"/>
        <v>0</v>
      </c>
      <c r="I38" s="199" t="e">
        <f t="shared" ca="1" si="9"/>
        <v>#VALUE!</v>
      </c>
      <c r="J38" s="2856"/>
      <c r="K38" s="1368"/>
      <c r="L38" s="1885" t="s">
        <v>2938</v>
      </c>
      <c r="M38" s="2860">
        <v>0.25</v>
      </c>
      <c r="N38" s="1368"/>
      <c r="O38" s="1368"/>
      <c r="P38" s="1368"/>
      <c r="Q38" s="1368"/>
      <c r="R38" s="1368"/>
      <c r="S38" s="1368"/>
      <c r="T38" s="1368"/>
      <c r="U38" s="1368"/>
      <c r="V38" s="1368"/>
      <c r="W38" s="1368"/>
      <c r="X38" s="1368"/>
      <c r="Y38" s="1368"/>
      <c r="Z38" s="1369"/>
    </row>
    <row r="39" spans="1:37" ht="13.5" thickBot="1">
      <c r="A39" s="2843"/>
      <c r="B39" s="2861" t="s">
        <v>2939</v>
      </c>
      <c r="C39" s="228" t="e">
        <f ca="1">ROUND(D5*C19*C41*C24*F39,0)</f>
        <v>#VALUE!</v>
      </c>
      <c r="D39" s="2845"/>
      <c r="E39" s="228" t="e">
        <f t="shared" ca="1" si="7"/>
        <v>#VALUE!</v>
      </c>
      <c r="F39" s="930">
        <f>SUMIF(修正!A45:A56,G2,修正!H45:H56)</f>
        <v>0.25</v>
      </c>
      <c r="G39" s="228" t="e">
        <f ca="1">ROUND(IF(E2="工业",C39*$M$39,C39*$M$38),0)</f>
        <v>#VALUE!</v>
      </c>
      <c r="H39" s="228">
        <f t="shared" si="8"/>
        <v>0</v>
      </c>
      <c r="I39" s="228" t="e">
        <f t="shared" ca="1" si="9"/>
        <v>#VALUE!</v>
      </c>
      <c r="J39" s="2862"/>
      <c r="K39" s="1368"/>
      <c r="L39" s="2863" t="s">
        <v>2882</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3047</v>
      </c>
      <c r="C41" s="387">
        <f ca="1">ROUND(POWER(1+E41,H41-G41)*(POWER(1+E41,G41)-1)/(POWER(1+E41,H41)-1),4)</f>
        <v>0</v>
      </c>
      <c r="D41" s="199" t="s">
        <v>2889</v>
      </c>
      <c r="E41" s="2931">
        <f ca="1">G20</f>
        <v>5.1999999999999998E-2</v>
      </c>
      <c r="F41" s="199" t="s">
        <v>2898</v>
      </c>
      <c r="G41" s="217"/>
      <c r="H41" s="199">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2940</v>
      </c>
      <c r="B45" s="2867"/>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68" t="s">
        <v>2941</v>
      </c>
      <c r="B46" s="2869">
        <f>1+E48</f>
        <v>1</v>
      </c>
      <c r="C46" s="2870"/>
      <c r="D46" s="812"/>
      <c r="E46" s="813"/>
      <c r="F46" s="2871"/>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2" t="s">
        <v>2942</v>
      </c>
      <c r="B47" s="1807" t="s">
        <v>2943</v>
      </c>
      <c r="C47" s="1807" t="s">
        <v>2944</v>
      </c>
      <c r="D47" s="1807" t="s">
        <v>2945</v>
      </c>
      <c r="E47" s="817" t="s">
        <v>2946</v>
      </c>
      <c r="F47" s="2873" t="s">
        <v>2947</v>
      </c>
      <c r="G47" s="1807" t="s">
        <v>754</v>
      </c>
      <c r="H47" s="2874" t="s">
        <v>2948</v>
      </c>
      <c r="I47" s="1807" t="s">
        <v>2949</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38.25">
      <c r="A48" s="2872" t="s">
        <v>2950</v>
      </c>
      <c r="B48" s="2875" t="str">
        <f>估价对象房地状况!C4</f>
        <v>估价对象位于XX商圈，周边商业氛围成熟，人流量大，商业繁华度好</v>
      </c>
      <c r="C48" s="2772"/>
      <c r="D48" s="1284">
        <f t="shared" ref="D48:D56" si="10">SUMIF($J$47:$N$47,C48,J48:N48)</f>
        <v>0</v>
      </c>
      <c r="E48" s="819">
        <f>ROUND(SUM(D48:D56),4)</f>
        <v>0</v>
      </c>
      <c r="F48" s="2503"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2951</v>
      </c>
      <c r="B49" s="2876" t="str">
        <f>估价对象房地状况!C18</f>
        <v>估价对象周边道路状况、公共交通通达情况、停车便捷程度，综合评价交通便捷度较好</v>
      </c>
      <c r="C49" s="2772"/>
      <c r="D49" s="1284">
        <f t="shared" si="10"/>
        <v>0</v>
      </c>
      <c r="E49" s="820"/>
      <c r="F49" s="2503"/>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2952</v>
      </c>
      <c r="B50" s="2876">
        <f>估价对象房地状况!C19</f>
        <v>0</v>
      </c>
      <c r="C50" s="2772"/>
      <c r="D50" s="1284">
        <f t="shared" si="10"/>
        <v>0</v>
      </c>
      <c r="E50" s="820"/>
      <c r="F50" s="2503"/>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2953</v>
      </c>
      <c r="B51" s="2877" t="s">
        <v>2954</v>
      </c>
      <c r="C51" s="2772"/>
      <c r="D51" s="1284">
        <f t="shared" si="10"/>
        <v>0</v>
      </c>
      <c r="E51" s="820"/>
      <c r="F51" s="2503"/>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2955</v>
      </c>
      <c r="B52" s="2876">
        <f>估价对象房地状况!C24</f>
        <v>0</v>
      </c>
      <c r="C52" s="2772"/>
      <c r="D52" s="1284">
        <f t="shared" si="10"/>
        <v>0</v>
      </c>
      <c r="E52" s="820"/>
      <c r="F52" s="2503"/>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2956</v>
      </c>
      <c r="B53" s="2878" t="s">
        <v>2957</v>
      </c>
      <c r="C53" s="2772"/>
      <c r="D53" s="1284">
        <f t="shared" si="10"/>
        <v>0</v>
      </c>
      <c r="E53" s="820"/>
      <c r="F53" s="2503"/>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2958</v>
      </c>
      <c r="B54" s="1723" t="str">
        <f>估价对象房地状况!C21</f>
        <v>估价对象所在区域公共配套设施齐备情况</v>
      </c>
      <c r="C54" s="2772"/>
      <c r="D54" s="1284">
        <f t="shared" si="10"/>
        <v>0</v>
      </c>
      <c r="E54" s="820"/>
      <c r="F54" s="2503"/>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2959</v>
      </c>
      <c r="B55" s="2876" t="str">
        <f>估价对象房地状况!C22</f>
        <v>估价对象所在区域基础设施水平</v>
      </c>
      <c r="C55" s="2772"/>
      <c r="D55" s="1284">
        <f t="shared" si="10"/>
        <v>0</v>
      </c>
      <c r="E55" s="820"/>
      <c r="F55" s="2503"/>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2960</v>
      </c>
      <c r="B56" s="2881" t="str">
        <f>估价对象房地状况!C20</f>
        <v>区域自然环境：；人文环境；综合评价环境状况一般</v>
      </c>
      <c r="C56" s="2772"/>
      <c r="D56" s="1284">
        <f t="shared" si="10"/>
        <v>0</v>
      </c>
      <c r="E56" s="823"/>
      <c r="F56" s="2503"/>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2961</v>
      </c>
      <c r="B57" s="2869">
        <f>1+E59</f>
        <v>1</v>
      </c>
      <c r="C57" s="812"/>
      <c r="D57" s="812"/>
      <c r="E57" s="813"/>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2942</v>
      </c>
      <c r="B58" s="1807"/>
      <c r="C58" s="1807" t="s">
        <v>2944</v>
      </c>
      <c r="D58" s="1807" t="s">
        <v>2945</v>
      </c>
      <c r="E58" s="817" t="s">
        <v>2946</v>
      </c>
      <c r="F58" s="2873" t="s">
        <v>2962</v>
      </c>
      <c r="G58" s="1807" t="s">
        <v>754</v>
      </c>
      <c r="H58" s="2874" t="s">
        <v>2948</v>
      </c>
      <c r="I58" s="1807" t="s">
        <v>2949</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38.25">
      <c r="A59" s="2872" t="s">
        <v>2963</v>
      </c>
      <c r="B59" s="2875" t="str">
        <f>估价对象房地状况!C17</f>
        <v>估价对象位于XX商圈，周边办公楼项目较多，入驻率高，办公集聚程度较好</v>
      </c>
      <c r="C59" s="2772"/>
      <c r="D59" s="1284">
        <f t="shared" ref="D59:D67" si="15">SUMIF($J$58:$N$58,C59,J59:N59)</f>
        <v>0</v>
      </c>
      <c r="E59" s="819">
        <f>ROUND(SUM(D59:D67),4)</f>
        <v>0</v>
      </c>
      <c r="F59" s="2503">
        <f>IF(E2="办公",SUMIF(L1:L12,G2,N1:N12),"——")</f>
        <v>0.1</v>
      </c>
      <c r="G59" s="1282"/>
      <c r="H59" s="1286">
        <f t="shared" ref="H59:H67" si="16">IFERROR(ROUNDDOWN($F$59*I59/2,4),"——")</f>
        <v>1.2E-2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2951</v>
      </c>
      <c r="B60" s="2876" t="str">
        <f>估价对象房地状况!C18</f>
        <v>估价对象周边道路状况、公共交通通达情况、停车便捷程度，综合评价交通便捷度较好</v>
      </c>
      <c r="C60" s="2772"/>
      <c r="D60" s="1284">
        <f t="shared" si="15"/>
        <v>0</v>
      </c>
      <c r="E60" s="820"/>
      <c r="F60" s="2503"/>
      <c r="G60" s="1282"/>
      <c r="H60" s="1286">
        <f t="shared" si="16"/>
        <v>1.4999999999999999E-2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2952</v>
      </c>
      <c r="B61" s="2876">
        <f>估价对象房地状况!C19</f>
        <v>0</v>
      </c>
      <c r="C61" s="2772"/>
      <c r="D61" s="1284">
        <f t="shared" si="15"/>
        <v>0</v>
      </c>
      <c r="E61" s="820"/>
      <c r="F61" s="2503"/>
      <c r="G61" s="1282"/>
      <c r="H61" s="1286">
        <f t="shared" si="16"/>
        <v>4.0000000000000001E-3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2953</v>
      </c>
      <c r="B62" s="2877" t="s">
        <v>2954</v>
      </c>
      <c r="C62" s="2772"/>
      <c r="D62" s="1284">
        <f t="shared" si="15"/>
        <v>0</v>
      </c>
      <c r="E62" s="820"/>
      <c r="F62" s="2503"/>
      <c r="G62" s="1282"/>
      <c r="H62" s="1286">
        <f t="shared" si="16"/>
        <v>2E-3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2955</v>
      </c>
      <c r="B63" s="2876">
        <f>估价对象房地状况!C24</f>
        <v>0</v>
      </c>
      <c r="C63" s="2772"/>
      <c r="D63" s="1284">
        <f t="shared" si="15"/>
        <v>0</v>
      </c>
      <c r="E63" s="820"/>
      <c r="F63" s="2503"/>
      <c r="G63" s="1282"/>
      <c r="H63" s="1286">
        <f t="shared" si="16"/>
        <v>2.5000000000000001E-3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2956</v>
      </c>
      <c r="B64" s="2878" t="s">
        <v>2957</v>
      </c>
      <c r="C64" s="2772"/>
      <c r="D64" s="1284">
        <f t="shared" si="15"/>
        <v>0</v>
      </c>
      <c r="E64" s="820"/>
      <c r="F64" s="2503"/>
      <c r="G64" s="1282"/>
      <c r="H64" s="1286">
        <f t="shared" si="16"/>
        <v>2.5000000000000001E-3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2958</v>
      </c>
      <c r="B65" s="1723" t="str">
        <f>估价对象房地状况!C21</f>
        <v>估价对象所在区域公共配套设施齐备情况</v>
      </c>
      <c r="C65" s="2772"/>
      <c r="D65" s="1284">
        <f t="shared" si="15"/>
        <v>0</v>
      </c>
      <c r="E65" s="820"/>
      <c r="F65" s="2503"/>
      <c r="G65" s="1282"/>
      <c r="H65" s="1286">
        <f t="shared" si="16"/>
        <v>3.0000000000000001E-3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2959</v>
      </c>
      <c r="B66" s="1723" t="str">
        <f>估价对象房地状况!C22</f>
        <v>估价对象所在区域基础设施水平</v>
      </c>
      <c r="C66" s="2772"/>
      <c r="D66" s="1284">
        <f t="shared" si="15"/>
        <v>0</v>
      </c>
      <c r="E66" s="820"/>
      <c r="F66" s="2503"/>
      <c r="G66" s="1282"/>
      <c r="H66" s="1286">
        <f t="shared" si="16"/>
        <v>6.0000000000000001E-3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2960</v>
      </c>
      <c r="B67" s="2882" t="str">
        <f>估价对象房地状况!C20</f>
        <v>区域自然环境：；人文环境；综合评价环境状况一般</v>
      </c>
      <c r="C67" s="2772"/>
      <c r="D67" s="1284">
        <f t="shared" si="15"/>
        <v>0</v>
      </c>
      <c r="E67" s="823"/>
      <c r="F67" s="2503"/>
      <c r="G67" s="1282"/>
      <c r="H67" s="1286">
        <f t="shared" si="16"/>
        <v>3.0000000000000001E-3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2964</v>
      </c>
      <c r="B68" s="2869">
        <f>1+E70</f>
        <v>1</v>
      </c>
      <c r="C68" s="812"/>
      <c r="D68" s="812"/>
      <c r="E68" s="813"/>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2942</v>
      </c>
      <c r="B69" s="1807"/>
      <c r="C69" s="1807" t="s">
        <v>2944</v>
      </c>
      <c r="D69" s="1807" t="s">
        <v>2945</v>
      </c>
      <c r="E69" s="817" t="s">
        <v>2946</v>
      </c>
      <c r="F69" s="2873" t="s">
        <v>2962</v>
      </c>
      <c r="G69" s="1807" t="s">
        <v>754</v>
      </c>
      <c r="H69" s="2874" t="s">
        <v>2948</v>
      </c>
      <c r="I69" s="1807" t="s">
        <v>2949</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51">
      <c r="A70" s="2872" t="s">
        <v>2965</v>
      </c>
      <c r="B70" s="2875" t="str">
        <f>估价对象房地状况!C15</f>
        <v>估价对象周边居住用地比例、居住小区规模和社区发展完善程度，综合评价居住社区成熟度一般</v>
      </c>
      <c r="C70" s="2772"/>
      <c r="D70" s="1284">
        <f t="shared" ref="D70:D78" si="20">SUMIF($J$69:$N$69,C70,J70:N70)</f>
        <v>0</v>
      </c>
      <c r="E70" s="819">
        <f>ROUND(SUM(D70:D78),4)</f>
        <v>0</v>
      </c>
      <c r="F70" s="2503"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2" t="s">
        <v>2951</v>
      </c>
      <c r="B71" s="2876" t="str">
        <f>估价对象房地状况!C18</f>
        <v>估价对象周边道路状况、公共交通通达情况、停车便捷程度，综合评价交通便捷度较好</v>
      </c>
      <c r="C71" s="2772"/>
      <c r="D71" s="1284">
        <f t="shared" si="20"/>
        <v>0</v>
      </c>
      <c r="E71" s="824"/>
      <c r="F71" s="2503"/>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2952</v>
      </c>
      <c r="B72" s="2876">
        <f>估价对象房地状况!C19</f>
        <v>0</v>
      </c>
      <c r="C72" s="2772"/>
      <c r="D72" s="1284">
        <f t="shared" si="20"/>
        <v>0</v>
      </c>
      <c r="E72" s="824"/>
      <c r="F72" s="2503"/>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2966</v>
      </c>
      <c r="B73" s="2876">
        <f>估价对象房地状况!C24</f>
        <v>0</v>
      </c>
      <c r="C73" s="2772"/>
      <c r="D73" s="1284">
        <f t="shared" si="20"/>
        <v>0</v>
      </c>
      <c r="E73" s="824"/>
      <c r="F73" s="2503"/>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2" t="s">
        <v>2958</v>
      </c>
      <c r="B74" s="1723" t="str">
        <f>估价对象房地状况!C21</f>
        <v>估价对象所在区域公共配套设施齐备情况</v>
      </c>
      <c r="C74" s="2772"/>
      <c r="D74" s="1284">
        <f t="shared" si="20"/>
        <v>0</v>
      </c>
      <c r="E74" s="824"/>
      <c r="F74" s="2503"/>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2" t="s">
        <v>2959</v>
      </c>
      <c r="B75" s="1723" t="str">
        <f>估价对象房地状况!C22</f>
        <v>估价对象所在区域基础设施水平</v>
      </c>
      <c r="C75" s="2772"/>
      <c r="D75" s="1284">
        <f t="shared" si="20"/>
        <v>0</v>
      </c>
      <c r="E75" s="824"/>
      <c r="F75" s="2503"/>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1" customFormat="1" ht="24">
      <c r="A76" s="2872" t="s">
        <v>2956</v>
      </c>
      <c r="B76" s="2878" t="s">
        <v>2957</v>
      </c>
      <c r="C76" s="2772"/>
      <c r="D76" s="1284">
        <f t="shared" si="20"/>
        <v>0</v>
      </c>
      <c r="E76" s="824"/>
      <c r="F76" s="2503"/>
      <c r="G76" s="1282"/>
      <c r="H76" s="1286" t="str">
        <f t="shared" si="21"/>
        <v>——</v>
      </c>
      <c r="I76" s="818">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38.25">
      <c r="A77" s="2872" t="s">
        <v>2960</v>
      </c>
      <c r="B77" s="2875" t="str">
        <f>估价对象房地状况!C20</f>
        <v>区域自然环境：；人文环境；综合评价环境状况一般</v>
      </c>
      <c r="C77" s="2772"/>
      <c r="D77" s="1284">
        <f t="shared" si="20"/>
        <v>0</v>
      </c>
      <c r="E77" s="824"/>
      <c r="F77" s="2503"/>
      <c r="G77" s="1282"/>
      <c r="H77" s="1286" t="str">
        <f t="shared" si="21"/>
        <v>——</v>
      </c>
      <c r="I77" s="818">
        <v>0.15</v>
      </c>
      <c r="J77" s="1283">
        <f t="shared" si="22"/>
        <v>0</v>
      </c>
      <c r="K77" s="1283">
        <f t="shared" si="23"/>
        <v>0</v>
      </c>
      <c r="L77" s="1283">
        <v>0</v>
      </c>
      <c r="M77" s="1283">
        <f t="shared" si="24"/>
        <v>0</v>
      </c>
      <c r="N77" s="1283">
        <f t="shared" si="24"/>
        <v>0</v>
      </c>
      <c r="Z77" s="2722"/>
      <c r="AA77" s="2790"/>
      <c r="AG77" s="1370"/>
      <c r="AK77" s="2790"/>
    </row>
    <row r="78" spans="1:37" ht="24.75" thickBot="1">
      <c r="A78" s="2880" t="s">
        <v>2967</v>
      </c>
      <c r="B78" s="2884"/>
      <c r="C78" s="2772"/>
      <c r="D78" s="1284">
        <f t="shared" si="20"/>
        <v>0</v>
      </c>
      <c r="E78" s="825"/>
      <c r="F78" s="2503"/>
      <c r="G78" s="1282"/>
      <c r="H78" s="1286" t="str">
        <f t="shared" si="21"/>
        <v>——</v>
      </c>
      <c r="I78" s="822">
        <v>0.04</v>
      </c>
      <c r="J78" s="1283">
        <f t="shared" si="22"/>
        <v>0</v>
      </c>
      <c r="K78" s="1283">
        <f t="shared" si="23"/>
        <v>0</v>
      </c>
      <c r="L78" s="1283">
        <v>0</v>
      </c>
      <c r="M78" s="1283">
        <f t="shared" si="24"/>
        <v>0</v>
      </c>
      <c r="N78" s="1283">
        <f t="shared" si="24"/>
        <v>0</v>
      </c>
      <c r="Z78" s="2722"/>
      <c r="AA78" s="2790"/>
      <c r="AG78" s="1370"/>
      <c r="AK78" s="2790"/>
    </row>
    <row r="79" spans="1:37" ht="15">
      <c r="A79" s="2868" t="s">
        <v>2968</v>
      </c>
      <c r="B79" s="2869">
        <f>1+E81</f>
        <v>1</v>
      </c>
      <c r="C79" s="812"/>
      <c r="D79" s="812"/>
      <c r="E79" s="813"/>
      <c r="F79" s="2871"/>
      <c r="G79" s="6"/>
      <c r="H79" s="6"/>
      <c r="I79" s="6"/>
      <c r="J79" s="7"/>
      <c r="K79" s="7"/>
      <c r="L79" s="7"/>
      <c r="M79" s="7"/>
      <c r="N79" s="7"/>
      <c r="Z79" s="2722"/>
      <c r="AA79" s="2790"/>
      <c r="AG79" s="1370"/>
      <c r="AK79" s="2790"/>
    </row>
    <row r="80" spans="1:37" ht="24.75">
      <c r="A80" s="2872" t="s">
        <v>2942</v>
      </c>
      <c r="B80" s="1807"/>
      <c r="C80" s="1807" t="s">
        <v>2944</v>
      </c>
      <c r="D80" s="1807" t="s">
        <v>2945</v>
      </c>
      <c r="E80" s="817" t="s">
        <v>2946</v>
      </c>
      <c r="F80" s="2873" t="s">
        <v>2962</v>
      </c>
      <c r="G80" s="1807" t="s">
        <v>754</v>
      </c>
      <c r="H80" s="2874" t="s">
        <v>2948</v>
      </c>
      <c r="I80" s="1807" t="s">
        <v>2949</v>
      </c>
      <c r="J80" s="602" t="s">
        <v>2597</v>
      </c>
      <c r="K80" s="602" t="s">
        <v>2598</v>
      </c>
      <c r="L80" s="602" t="s">
        <v>2599</v>
      </c>
      <c r="M80" s="602" t="s">
        <v>2600</v>
      </c>
      <c r="N80" s="602" t="s">
        <v>2601</v>
      </c>
      <c r="Z80" s="2722"/>
      <c r="AA80" s="2790"/>
      <c r="AG80" s="1370"/>
      <c r="AK80" s="2790"/>
    </row>
    <row r="81" spans="1:37" ht="38.25">
      <c r="A81" s="2872" t="s">
        <v>2969</v>
      </c>
      <c r="B81" s="2876" t="str">
        <f>估价对象房地状况!G15</f>
        <v>估价对象位于XX开发区，园区建设成熟度XX，产业集聚程度XX</v>
      </c>
      <c r="C81" s="2772"/>
      <c r="D81" s="1284">
        <f t="shared" ref="D81:D88" si="25">SUMIF($J$80:$N$80,C81,J81:N81)</f>
        <v>0</v>
      </c>
      <c r="E81" s="819">
        <f>ROUND(SUM(D81:D88),4)</f>
        <v>0</v>
      </c>
      <c r="F81" s="2503"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2"/>
      <c r="AA81" s="2790"/>
      <c r="AG81" s="1370"/>
      <c r="AK81" s="2790"/>
    </row>
    <row r="82" spans="1:37" ht="51">
      <c r="A82" s="2872" t="s">
        <v>2951</v>
      </c>
      <c r="B82" s="2876" t="str">
        <f>估价对象房地状况!G16</f>
        <v>估价对象周边道路状况、公共交通通达情况、停车便捷程度，综合评价交通便捷度较好</v>
      </c>
      <c r="C82" s="2772"/>
      <c r="D82" s="1284">
        <f t="shared" si="25"/>
        <v>0</v>
      </c>
      <c r="E82" s="824"/>
      <c r="F82" s="2503"/>
      <c r="G82" s="1282"/>
      <c r="H82" s="1286" t="str">
        <f t="shared" si="26"/>
        <v>——</v>
      </c>
      <c r="I82" s="818">
        <v>0.33</v>
      </c>
      <c r="J82" s="1283">
        <f t="shared" si="27"/>
        <v>0</v>
      </c>
      <c r="K82" s="1283">
        <f t="shared" si="28"/>
        <v>0</v>
      </c>
      <c r="L82" s="1283">
        <v>0</v>
      </c>
      <c r="M82" s="1283">
        <f t="shared" si="29"/>
        <v>0</v>
      </c>
      <c r="N82" s="1283">
        <f t="shared" si="29"/>
        <v>0</v>
      </c>
      <c r="Z82" s="2722"/>
      <c r="AA82" s="2790"/>
      <c r="AG82" s="1370"/>
      <c r="AK82" s="2790"/>
    </row>
    <row r="83" spans="1:37" ht="24">
      <c r="A83" s="2872" t="s">
        <v>2952</v>
      </c>
      <c r="B83" s="2876">
        <f>估价对象房地状况!G17</f>
        <v>0</v>
      </c>
      <c r="C83" s="2772"/>
      <c r="D83" s="1284">
        <f t="shared" si="25"/>
        <v>0</v>
      </c>
      <c r="E83" s="824"/>
      <c r="F83" s="2503"/>
      <c r="G83" s="1282"/>
      <c r="H83" s="1286" t="str">
        <f t="shared" si="26"/>
        <v>——</v>
      </c>
      <c r="I83" s="818">
        <v>0.05</v>
      </c>
      <c r="J83" s="1283">
        <f t="shared" si="27"/>
        <v>0</v>
      </c>
      <c r="K83" s="1283">
        <f t="shared" si="28"/>
        <v>0</v>
      </c>
      <c r="L83" s="1283">
        <v>0</v>
      </c>
      <c r="M83" s="1283">
        <f t="shared" si="29"/>
        <v>0</v>
      </c>
      <c r="N83" s="1283">
        <f t="shared" si="29"/>
        <v>0</v>
      </c>
      <c r="Z83" s="2722"/>
      <c r="AA83" s="2790"/>
      <c r="AG83" s="1370"/>
      <c r="AK83" s="2790"/>
    </row>
    <row r="84" spans="1:37" ht="14.25">
      <c r="A84" s="2872" t="s">
        <v>2966</v>
      </c>
      <c r="B84" s="2876">
        <f>估价对象房地状况!G22</f>
        <v>0</v>
      </c>
      <c r="C84" s="2772"/>
      <c r="D84" s="1284">
        <f t="shared" si="25"/>
        <v>0</v>
      </c>
      <c r="E84" s="824"/>
      <c r="F84" s="2503"/>
      <c r="G84" s="1282"/>
      <c r="H84" s="1286" t="str">
        <f t="shared" si="26"/>
        <v>——</v>
      </c>
      <c r="I84" s="818">
        <v>0.04</v>
      </c>
      <c r="J84" s="1283">
        <f t="shared" si="27"/>
        <v>0</v>
      </c>
      <c r="K84" s="1283">
        <f t="shared" si="28"/>
        <v>0</v>
      </c>
      <c r="L84" s="1283">
        <v>0</v>
      </c>
      <c r="M84" s="1283">
        <f t="shared" si="29"/>
        <v>0</v>
      </c>
      <c r="N84" s="1283">
        <f t="shared" si="29"/>
        <v>0</v>
      </c>
      <c r="Z84" s="2722"/>
      <c r="AA84" s="2790"/>
      <c r="AG84" s="1370"/>
      <c r="AK84" s="2790"/>
    </row>
    <row r="85" spans="1:37" ht="25.5">
      <c r="A85" s="2872" t="s">
        <v>2958</v>
      </c>
      <c r="B85" s="1723" t="str">
        <f>估价对象房地状况!G19</f>
        <v>估价对象所在区域公共配套设施齐备情况</v>
      </c>
      <c r="C85" s="2772"/>
      <c r="D85" s="1284">
        <f t="shared" si="25"/>
        <v>0</v>
      </c>
      <c r="E85" s="824"/>
      <c r="F85" s="2503"/>
      <c r="G85" s="1282"/>
      <c r="H85" s="1286" t="str">
        <f t="shared" si="26"/>
        <v>——</v>
      </c>
      <c r="I85" s="818">
        <v>0.06</v>
      </c>
      <c r="J85" s="1283">
        <f t="shared" si="27"/>
        <v>0</v>
      </c>
      <c r="K85" s="1283">
        <f t="shared" si="28"/>
        <v>0</v>
      </c>
      <c r="L85" s="1283">
        <v>0</v>
      </c>
      <c r="M85" s="1283">
        <f t="shared" si="29"/>
        <v>0</v>
      </c>
      <c r="N85" s="1283">
        <f t="shared" si="29"/>
        <v>0</v>
      </c>
      <c r="Z85" s="2722"/>
      <c r="AA85" s="2790"/>
      <c r="AG85" s="1370"/>
      <c r="AK85" s="2790"/>
    </row>
    <row r="86" spans="1:37" ht="25.5">
      <c r="A86" s="2872" t="s">
        <v>2959</v>
      </c>
      <c r="B86" s="1723" t="str">
        <f>估价对象房地状况!G20</f>
        <v>估价对象所在区域基础设施水平</v>
      </c>
      <c r="C86" s="2772"/>
      <c r="D86" s="1284">
        <f t="shared" si="25"/>
        <v>0</v>
      </c>
      <c r="E86" s="824"/>
      <c r="F86" s="2503"/>
      <c r="G86" s="1282"/>
      <c r="H86" s="1286" t="str">
        <f t="shared" si="26"/>
        <v>——</v>
      </c>
      <c r="I86" s="818">
        <v>0.15</v>
      </c>
      <c r="J86" s="1283">
        <f t="shared" si="27"/>
        <v>0</v>
      </c>
      <c r="K86" s="1283">
        <f t="shared" si="28"/>
        <v>0</v>
      </c>
      <c r="L86" s="1283">
        <v>0</v>
      </c>
      <c r="M86" s="1283">
        <f t="shared" si="29"/>
        <v>0</v>
      </c>
      <c r="N86" s="1283">
        <f t="shared" si="29"/>
        <v>0</v>
      </c>
      <c r="Z86" s="2722"/>
      <c r="AA86" s="2790"/>
      <c r="AG86" s="1370"/>
      <c r="AK86" s="2790"/>
    </row>
    <row r="87" spans="1:37" ht="24">
      <c r="A87" s="2872" t="s">
        <v>2956</v>
      </c>
      <c r="B87" s="2878" t="s">
        <v>2970</v>
      </c>
      <c r="C87" s="2772"/>
      <c r="D87" s="1284">
        <f t="shared" si="25"/>
        <v>0</v>
      </c>
      <c r="E87" s="824"/>
      <c r="F87" s="2503"/>
      <c r="G87" s="1282"/>
      <c r="H87" s="1286" t="str">
        <f t="shared" si="26"/>
        <v>——</v>
      </c>
      <c r="I87" s="818">
        <v>0.05</v>
      </c>
      <c r="J87" s="1283">
        <f t="shared" si="27"/>
        <v>0</v>
      </c>
      <c r="K87" s="1283">
        <f t="shared" si="28"/>
        <v>0</v>
      </c>
      <c r="L87" s="1283">
        <v>0</v>
      </c>
      <c r="M87" s="1283">
        <f t="shared" si="29"/>
        <v>0</v>
      </c>
      <c r="N87" s="1283">
        <f t="shared" si="29"/>
        <v>0</v>
      </c>
      <c r="Z87" s="2722"/>
      <c r="AA87" s="2790"/>
      <c r="AG87" s="1370"/>
      <c r="AK87" s="2790"/>
    </row>
    <row r="88" spans="1:37" ht="39" thickBot="1">
      <c r="A88" s="2880" t="s">
        <v>2971</v>
      </c>
      <c r="B88" s="2885" t="str">
        <f>估价对象房地状况!G18</f>
        <v>该园区内是否有污染型企业，绿化情况，卫生条件，整体环境状况判断</v>
      </c>
      <c r="C88" s="2772"/>
      <c r="D88" s="1284">
        <f t="shared" si="25"/>
        <v>0</v>
      </c>
      <c r="E88" s="825"/>
      <c r="F88" s="2503"/>
      <c r="G88" s="1282"/>
      <c r="H88" s="1286" t="str">
        <f t="shared" si="26"/>
        <v>——</v>
      </c>
      <c r="I88" s="822">
        <v>0.06</v>
      </c>
      <c r="J88" s="1283">
        <f t="shared" si="27"/>
        <v>0</v>
      </c>
      <c r="K88" s="1283">
        <f t="shared" si="28"/>
        <v>0</v>
      </c>
      <c r="L88" s="1283">
        <v>0</v>
      </c>
      <c r="M88" s="1283">
        <f t="shared" si="29"/>
        <v>0</v>
      </c>
      <c r="N88" s="1283">
        <f t="shared" si="29"/>
        <v>0</v>
      </c>
      <c r="Z88" s="2722"/>
      <c r="AA88" s="2790"/>
      <c r="AG88" s="1370"/>
      <c r="AK88" s="2790"/>
    </row>
    <row r="90" spans="1:37">
      <c r="A90" s="3290" t="s">
        <v>2972</v>
      </c>
      <c r="B90" s="3290"/>
      <c r="C90" s="3290"/>
      <c r="D90" s="3290"/>
      <c r="E90" s="3290"/>
      <c r="F90" s="3290"/>
      <c r="G90" s="3290"/>
      <c r="H90" s="3290"/>
      <c r="I90" s="3290"/>
      <c r="J90" s="3290"/>
      <c r="K90" s="2886"/>
      <c r="L90" s="2886"/>
      <c r="M90" s="2886"/>
      <c r="N90" s="2886"/>
    </row>
    <row r="91" spans="1:37">
      <c r="A91" s="3292" t="s">
        <v>2973</v>
      </c>
      <c r="B91" s="3292" t="s">
        <v>2974</v>
      </c>
      <c r="C91" s="2840" t="s">
        <v>2975</v>
      </c>
      <c r="D91" s="2841"/>
      <c r="E91" s="2841"/>
      <c r="F91" s="2841"/>
      <c r="G91" s="2841"/>
      <c r="H91" s="2841"/>
      <c r="I91" s="2841"/>
      <c r="J91" s="2887"/>
      <c r="K91" s="2888"/>
      <c r="L91" s="2888"/>
      <c r="M91" s="2888"/>
      <c r="N91" s="2888"/>
    </row>
    <row r="92" spans="1:37">
      <c r="A92" s="3292"/>
      <c r="B92" s="3292"/>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93"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4"/>
      <c r="B99" s="2889" t="s">
        <v>2857</v>
      </c>
      <c r="C99" s="2891">
        <f>$I$3</f>
        <v>31</v>
      </c>
      <c r="D99" s="2891">
        <f t="shared" ref="D99:M99" si="30">$I$3</f>
        <v>31</v>
      </c>
      <c r="E99" s="2891">
        <f t="shared" si="30"/>
        <v>31</v>
      </c>
      <c r="F99" s="2891">
        <f t="shared" si="30"/>
        <v>31</v>
      </c>
      <c r="G99" s="2891">
        <f t="shared" si="30"/>
        <v>31</v>
      </c>
      <c r="H99" s="2891">
        <f t="shared" si="30"/>
        <v>31</v>
      </c>
      <c r="I99" s="2891">
        <f t="shared" si="30"/>
        <v>31</v>
      </c>
      <c r="J99" s="2891">
        <f t="shared" si="30"/>
        <v>31</v>
      </c>
      <c r="K99" s="2891">
        <f t="shared" si="30"/>
        <v>31</v>
      </c>
      <c r="L99" s="2891">
        <f t="shared" si="30"/>
        <v>31</v>
      </c>
      <c r="M99" s="2891">
        <f t="shared" si="30"/>
        <v>31</v>
      </c>
      <c r="N99" s="2891">
        <f>$I$3</f>
        <v>31</v>
      </c>
    </row>
    <row r="100" spans="1:14">
      <c r="A100" s="3295"/>
      <c r="B100" s="2889">
        <v>7</v>
      </c>
      <c r="C100" s="2892">
        <f>(-0.163*(C99^2)-0.59*C99+7617)*(10^(-4))</f>
        <v>0.7442067</v>
      </c>
      <c r="D100" s="2892">
        <f>(-0.163*(D99^2)-0.59*D99+7617)*(10^(-4))</f>
        <v>0.7442067</v>
      </c>
      <c r="E100" s="2892">
        <f>(-0.161*(E99^2)-7.509*E99+6533)*(10^(-4))</f>
        <v>0.61455000000000004</v>
      </c>
      <c r="F100" s="2892">
        <f>(-0.161*(F99^2)-7.509*F99+6533)*(10^(-4))</f>
        <v>0.61455000000000004</v>
      </c>
      <c r="G100" s="2892">
        <f>(-0.161*(G99^2)-7.509*G99+6533)*(10^(-4))</f>
        <v>0.61455000000000004</v>
      </c>
      <c r="H100" s="2892">
        <f>(-0.161*(H99^2)-7.509*H99+6533)*(10^(-4))</f>
        <v>0.61455000000000004</v>
      </c>
      <c r="I100" s="2892">
        <f>(-0.161*(I99^2)-7.509*I99+6533)*(10^(-4))</f>
        <v>0.61455000000000004</v>
      </c>
      <c r="J100" s="2892">
        <f>(-0.214*(J99^2)-21.991*J99+4665)*(10^(-4))</f>
        <v>0.3777625</v>
      </c>
      <c r="K100" s="2892">
        <f>(-0.214*(K99^2)-21.991*K99+4665)*(10^(-4))</f>
        <v>0.3777625</v>
      </c>
      <c r="L100" s="2892">
        <f>(-0.214*(L99^2)-21.991*L99+4665)*(10^(-4))</f>
        <v>0.3777625</v>
      </c>
      <c r="M100" s="2892">
        <f>(-0.214*(M99^2)-21.991*M99+4665)*(10^(-4))</f>
        <v>0.3777625</v>
      </c>
      <c r="N100" s="2892">
        <f>(-0.214*(N99^2)-21.991*N99+4665)*(10^(-4))</f>
        <v>0.3777625</v>
      </c>
    </row>
    <row r="101" spans="1:14">
      <c r="A101" s="3293"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94"/>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94"/>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94"/>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94"/>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94"/>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94"/>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94"/>
      <c r="B108" s="3105" t="s">
        <v>2979</v>
      </c>
      <c r="C108" s="2891">
        <f>C99</f>
        <v>31</v>
      </c>
      <c r="D108" s="2891">
        <f t="shared" ref="D108:N108" si="32">D99</f>
        <v>31</v>
      </c>
      <c r="E108" s="2891">
        <f t="shared" si="32"/>
        <v>31</v>
      </c>
      <c r="F108" s="2891">
        <f t="shared" si="32"/>
        <v>31</v>
      </c>
      <c r="G108" s="2891">
        <f t="shared" si="32"/>
        <v>31</v>
      </c>
      <c r="H108" s="2891">
        <f t="shared" si="32"/>
        <v>31</v>
      </c>
      <c r="I108" s="2891">
        <f t="shared" si="32"/>
        <v>31</v>
      </c>
      <c r="J108" s="2891">
        <f t="shared" si="32"/>
        <v>31</v>
      </c>
      <c r="K108" s="2891">
        <f t="shared" si="32"/>
        <v>31</v>
      </c>
      <c r="L108" s="2891">
        <f t="shared" si="32"/>
        <v>31</v>
      </c>
      <c r="M108" s="2891">
        <f t="shared" si="32"/>
        <v>31</v>
      </c>
      <c r="N108" s="2891">
        <f t="shared" si="32"/>
        <v>31</v>
      </c>
    </row>
    <row r="109" spans="1:14">
      <c r="A109" s="3295"/>
      <c r="B109" s="3106"/>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91" t="s">
        <v>2980</v>
      </c>
      <c r="B110" s="3291"/>
      <c r="C110" s="3291"/>
      <c r="D110" s="3291"/>
      <c r="E110" s="3291"/>
      <c r="F110" s="3291"/>
      <c r="G110" s="3291"/>
      <c r="H110" s="3291"/>
      <c r="I110" s="3291"/>
      <c r="J110" s="3291"/>
      <c r="K110" s="2895"/>
      <c r="L110" s="2895"/>
      <c r="M110" s="2895"/>
      <c r="N110" s="2895"/>
    </row>
    <row r="112" spans="1:14" ht="13.5" thickBot="1"/>
    <row r="113" spans="1:13" ht="25.5" thickBot="1">
      <c r="A113" s="901" t="s">
        <v>2981</v>
      </c>
      <c r="B113" s="1285" t="e">
        <f>G3</f>
        <v>#DIV/0!</v>
      </c>
      <c r="C113" s="902" t="s">
        <v>2982</v>
      </c>
      <c r="D113" s="903" t="e">
        <f>SUMPRODUCT((A115:A118=F113)*(B114:M114=H113)*B115:M118)</f>
        <v>#DIV/0!</v>
      </c>
      <c r="E113" s="2726" t="s">
        <v>2814</v>
      </c>
      <c r="F113" s="2897" t="str">
        <f>E2</f>
        <v>办公</v>
      </c>
      <c r="G113" s="2726" t="s">
        <v>2815</v>
      </c>
      <c r="H113" s="2897" t="str">
        <f>G2</f>
        <v>二级</v>
      </c>
      <c r="I113" s="2726"/>
      <c r="J113" s="2898"/>
      <c r="K113" s="2898"/>
      <c r="L113" s="2898"/>
      <c r="M113" s="2898"/>
    </row>
    <row r="114" spans="1:13">
      <c r="A114" s="906"/>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7" t="s">
        <v>2879</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2880</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2881</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2882</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29806</v>
      </c>
      <c r="C2" s="2" t="s">
        <v>133</v>
      </c>
      <c r="D2" s="242"/>
      <c r="E2" s="242"/>
      <c r="F2" s="242"/>
      <c r="G2" s="242"/>
    </row>
    <row r="3" spans="1:7" s="243" customFormat="1" ht="18" customHeight="1" thickBot="1">
      <c r="A3" s="246" t="s">
        <v>85</v>
      </c>
      <c r="B3" s="247">
        <f ca="1">ROUND(B2*10000/'数据-汇总表'!E3,0)</f>
        <v>134555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29</v>
      </c>
      <c r="D10" s="1030">
        <f>'数据-汇总表'!E6</f>
        <v>2215.16</v>
      </c>
      <c r="E10" s="268">
        <f>'数据-取费表'!B28</f>
        <v>130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44</v>
      </c>
      <c r="D19" s="1034">
        <f>'数据-汇总表'!E3</f>
        <v>2215.16</v>
      </c>
      <c r="E19" s="254">
        <f>'数据-取费表'!B31</f>
        <v>200</v>
      </c>
      <c r="F19" s="274"/>
      <c r="G19" s="1" t="s">
        <v>1071</v>
      </c>
    </row>
    <row r="20" spans="1:7" s="257" customFormat="1" ht="13.5" customHeight="1">
      <c r="A20" s="946" t="s">
        <v>1054</v>
      </c>
      <c r="B20" s="253" t="s">
        <v>104</v>
      </c>
      <c r="C20" s="275">
        <f>ROUND((C5+C19)*F20,0)</f>
        <v>413</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3116</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3079</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7</v>
      </c>
      <c r="D24" s="281"/>
      <c r="E24" s="281"/>
      <c r="F24" s="282"/>
      <c r="G24" s="283" t="s">
        <v>109</v>
      </c>
    </row>
    <row r="25" spans="1:7" s="257" customFormat="1" ht="24">
      <c r="A25" s="949" t="s">
        <v>793</v>
      </c>
      <c r="B25" s="258" t="s">
        <v>1055</v>
      </c>
      <c r="C25" s="1353">
        <f ca="1">ROUND(IF('数据-取费表'!B22&lt;=1,C20*F22*'数据-取费表'!B23/2,C20*(POWER((1+F22),'数据-取费表'!B23/2)-1)),0)</f>
        <v>30</v>
      </c>
      <c r="D25" s="281"/>
      <c r="E25" s="284"/>
      <c r="F25" s="282"/>
      <c r="G25" s="285" t="s">
        <v>110</v>
      </c>
    </row>
    <row r="26" spans="1:7" s="257" customFormat="1">
      <c r="A26" s="949" t="s">
        <v>795</v>
      </c>
      <c r="B26" s="258" t="s">
        <v>1057</v>
      </c>
      <c r="C26" s="281">
        <f ca="1">ROUND(IF('数据-取费表'!B22&lt;=1,F21*F22*'数据-取费表'!B23/2,F21*(POWER((1+F22),'数据-取费表'!B23/2)-1)),4)</f>
        <v>1.4E-3</v>
      </c>
      <c r="D26" s="281"/>
      <c r="E26" s="284"/>
      <c r="F26" s="282"/>
      <c r="G26" s="286"/>
    </row>
    <row r="27" spans="1:7" s="257" customFormat="1" ht="24.75">
      <c r="A27" s="946" t="s">
        <v>787</v>
      </c>
      <c r="B27" s="287" t="s">
        <v>112</v>
      </c>
      <c r="C27" s="288">
        <f>C28</f>
        <v>3160</v>
      </c>
      <c r="D27" s="278">
        <f>C29</f>
        <v>3.0000000000000001E-3</v>
      </c>
      <c r="E27" s="279" t="s">
        <v>126</v>
      </c>
      <c r="F27" s="289">
        <f>'数据-取费表'!Q16</f>
        <v>0.15</v>
      </c>
      <c r="G27" s="290" t="s">
        <v>1066</v>
      </c>
    </row>
    <row r="28" spans="1:7" s="257" customFormat="1" ht="13.5" customHeight="1">
      <c r="A28" s="949" t="s">
        <v>794</v>
      </c>
      <c r="B28" s="291" t="s">
        <v>1059</v>
      </c>
      <c r="C28" s="292">
        <f>ROUND((C5+C19+C20)*F27*'数据-取费表'!B21/'数据-取费表'!B20,0)</f>
        <v>3160</v>
      </c>
      <c r="D28" s="278"/>
      <c r="E28" s="279"/>
      <c r="F28" s="289"/>
      <c r="G28" s="290"/>
    </row>
    <row r="29" spans="1:7" s="257" customFormat="1" ht="13.5" customHeight="1">
      <c r="A29" s="949" t="s">
        <v>792</v>
      </c>
      <c r="B29" s="291" t="s">
        <v>1060</v>
      </c>
      <c r="C29" s="281">
        <f>ROUND(C21*F27*'数据-取费表'!B21/'数据-取费表'!B20,4)</f>
        <v>3.0000000000000001E-3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29648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132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49" t="s">
        <v>796</v>
      </c>
      <c r="B35" s="258" t="s">
        <v>60</v>
      </c>
      <c r="C35" s="263">
        <f>ROUND(C34*F35,0)</f>
        <v>4</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44</v>
      </c>
      <c r="D37" s="260">
        <f>'数据-汇总表'!E3</f>
        <v>2215.16</v>
      </c>
      <c r="E37" s="292">
        <f>'数据-取费表'!B35</f>
        <v>200</v>
      </c>
      <c r="F37" s="302"/>
      <c r="G37" s="304" t="s">
        <v>119</v>
      </c>
    </row>
    <row r="38" spans="1:7" ht="13.5" customHeight="1">
      <c r="A38" s="949" t="s">
        <v>799</v>
      </c>
      <c r="B38" s="258" t="s">
        <v>63</v>
      </c>
      <c r="C38" s="263">
        <f>ROUND(C34*F38,0)</f>
        <v>1</v>
      </c>
      <c r="D38" s="263"/>
      <c r="E38" s="263"/>
      <c r="F38" s="302">
        <f>'数据-取费表'!B36</f>
        <v>1.4999999999999999E-2</v>
      </c>
      <c r="G38" s="262" t="s">
        <v>117</v>
      </c>
    </row>
    <row r="39" spans="1:7" s="257" customFormat="1" ht="13.5" customHeight="1">
      <c r="A39" s="946" t="s">
        <v>783</v>
      </c>
      <c r="B39" s="253" t="s">
        <v>104</v>
      </c>
      <c r="C39" s="275">
        <f>ROUND(C33*F20,0)</f>
        <v>3</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10</v>
      </c>
      <c r="D41" s="278">
        <f ca="1">C44</f>
        <v>1.4E-3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v>
      </c>
      <c r="D42" s="281"/>
      <c r="E42" s="281"/>
      <c r="F42" s="282"/>
      <c r="G42" s="3171" t="s">
        <v>121</v>
      </c>
    </row>
    <row r="43" spans="1:7" ht="13.5" customHeight="1">
      <c r="A43" s="949" t="s">
        <v>792</v>
      </c>
      <c r="B43" s="258" t="s">
        <v>1061</v>
      </c>
      <c r="C43" s="281">
        <f ca="1">ROUND(IF('数据-取费表'!B22&lt;=1,C39*F22*'数据-取费表'!B21/2,C39*(POWER((1+F22),'数据-取费表'!B21/2)-1)),0)</f>
        <v>0</v>
      </c>
      <c r="D43" s="281"/>
      <c r="E43" s="281"/>
      <c r="F43" s="282"/>
      <c r="G43" s="3172"/>
    </row>
    <row r="44" spans="1:7" ht="13.5" customHeight="1">
      <c r="A44" s="949" t="s">
        <v>793</v>
      </c>
      <c r="B44" s="258" t="s">
        <v>1063</v>
      </c>
      <c r="C44" s="281">
        <f ca="1">ROUND(IF('数据-取费表'!B22&lt;=1,C40*F22*'数据-取费表'!B21/2,C40*(POWER((1+F22),'数据-取费表'!B21/2)-1)),4)</f>
        <v>1.4E-3</v>
      </c>
      <c r="D44" s="281"/>
      <c r="E44" s="281"/>
      <c r="F44" s="282"/>
      <c r="G44" s="3173"/>
    </row>
    <row r="45" spans="1:7" s="257" customFormat="1" ht="13.5" customHeight="1">
      <c r="A45" s="946" t="s">
        <v>786</v>
      </c>
      <c r="B45" s="287" t="s">
        <v>112</v>
      </c>
      <c r="C45" s="288">
        <f>C46</f>
        <v>20</v>
      </c>
      <c r="D45" s="278">
        <f>C47</f>
        <v>3.0000000000000001E-3</v>
      </c>
      <c r="E45" s="279" t="s">
        <v>129</v>
      </c>
      <c r="F45" s="289"/>
      <c r="G45" s="290" t="s">
        <v>1069</v>
      </c>
    </row>
    <row r="46" spans="1:7" s="257" customFormat="1" ht="13.5" customHeight="1">
      <c r="A46" s="949" t="s">
        <v>794</v>
      </c>
      <c r="B46" s="291" t="s">
        <v>1062</v>
      </c>
      <c r="C46" s="292">
        <f>ROUND((C33+C39)*F27,0)</f>
        <v>20</v>
      </c>
      <c r="D46" s="306"/>
      <c r="E46" s="279"/>
      <c r="F46" s="289"/>
      <c r="G46" s="290"/>
    </row>
    <row r="47" spans="1:7" s="257" customFormat="1" ht="13.5" customHeight="1">
      <c r="A47" s="949" t="s">
        <v>792</v>
      </c>
      <c r="B47" s="291" t="s">
        <v>1064</v>
      </c>
      <c r="C47" s="281">
        <f>ROUND(C40*F27,4)</f>
        <v>3.0000000000000001E-3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179</v>
      </c>
      <c r="D49" s="275"/>
      <c r="E49" s="275"/>
      <c r="F49" s="307"/>
      <c r="G49" s="277" t="s">
        <v>1070</v>
      </c>
    </row>
    <row r="50" spans="1:7" s="301" customFormat="1" ht="24">
      <c r="A50" s="946" t="s">
        <v>789</v>
      </c>
      <c r="B50" s="253" t="s">
        <v>124</v>
      </c>
      <c r="C50" s="275"/>
      <c r="D50" s="275"/>
      <c r="E50" s="275"/>
      <c r="F50" s="307">
        <f>IF('数据-取费表'!B24=0,'数据-取费表'!N16,1)</f>
        <v>0.88</v>
      </c>
      <c r="G50" s="290" t="s">
        <v>125</v>
      </c>
    </row>
    <row r="51" spans="1:7" ht="16.5" customHeight="1">
      <c r="A51" s="946" t="s">
        <v>790</v>
      </c>
      <c r="B51" s="253" t="s">
        <v>132</v>
      </c>
      <c r="C51" s="275">
        <f ca="1">ROUND(C49*F50,0)</f>
        <v>158</v>
      </c>
      <c r="D51" s="275"/>
      <c r="E51" s="275"/>
      <c r="F51" s="307"/>
      <c r="G51" s="277" t="s">
        <v>64</v>
      </c>
    </row>
    <row r="52" spans="1:7" s="251" customFormat="1" ht="16.5" thickBot="1">
      <c r="A52" s="308" t="s">
        <v>65</v>
      </c>
      <c r="B52" s="309"/>
      <c r="C52" s="310">
        <f ca="1">C31+C51</f>
        <v>29806</v>
      </c>
      <c r="D52" s="309"/>
      <c r="E52" s="309"/>
      <c r="F52" s="309"/>
      <c r="G52" s="311"/>
    </row>
    <row r="55" spans="1:7" ht="15">
      <c r="B55" s="313" t="s">
        <v>66</v>
      </c>
      <c r="C55" s="314"/>
    </row>
    <row r="56" spans="1:7">
      <c r="B56" s="316" t="s">
        <v>67</v>
      </c>
      <c r="C56" s="317">
        <f ca="1">ROUND(C51/C52,3)</f>
        <v>5.0000000000000001E-3</v>
      </c>
    </row>
    <row r="57" spans="1:7">
      <c r="B57" s="316" t="s">
        <v>68</v>
      </c>
      <c r="C57" s="318">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868</v>
      </c>
      <c r="B1" s="3311"/>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43656</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6" t="str">
        <f>IF(项目基本情况!B9="房地产市场价值","估价结果一览表","结果表-2")</f>
        <v>估价结果一览表</v>
      </c>
      <c r="B1" s="2996"/>
      <c r="C1" s="2996"/>
      <c r="D1" s="2996"/>
      <c r="E1" s="2996"/>
      <c r="F1" s="2996"/>
      <c r="G1" s="2996"/>
      <c r="H1" s="2996"/>
      <c r="I1" s="2996"/>
    </row>
    <row r="2" spans="1:9" ht="30" customHeight="1" thickTop="1">
      <c r="A2" s="2997" t="s">
        <v>1636</v>
      </c>
      <c r="B2" s="2997" t="s">
        <v>1637</v>
      </c>
      <c r="C2" s="2997" t="s">
        <v>1638</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8"/>
      <c r="B3" s="2998"/>
      <c r="C3" s="2998"/>
      <c r="D3" s="1042" t="s">
        <v>1633</v>
      </c>
      <c r="E3" s="1042" t="s">
        <v>1639</v>
      </c>
      <c r="F3" s="1042" t="s">
        <v>1633</v>
      </c>
      <c r="G3" s="1042" t="s">
        <v>1634</v>
      </c>
      <c r="H3" s="1042" t="s">
        <v>1633</v>
      </c>
      <c r="I3" s="1042" t="s">
        <v>1634</v>
      </c>
    </row>
    <row r="4" spans="1:9" ht="30">
      <c r="A4" s="1971" t="str">
        <f>项目基本情况!S2</f>
        <v>出让国有建设用地使用权及在建建筑物房地产</v>
      </c>
      <c r="B4" s="1042">
        <f>项目基本情况!C17</f>
        <v>2215.16</v>
      </c>
      <c r="C4" s="1042">
        <f>项目基本情况!C18</f>
        <v>95.610000000000014</v>
      </c>
      <c r="D4" s="1042" t="e">
        <f ca="1">结果表!D118</f>
        <v>#REF!</v>
      </c>
      <c r="E4" s="1042" t="e">
        <f ca="1">结果表!E118</f>
        <v>#REF!</v>
      </c>
      <c r="F4" s="1042" t="e">
        <f ca="1">结果表!F118</f>
        <v>#REF!</v>
      </c>
      <c r="G4" s="1042" t="e">
        <f ca="1">结果表!G118</f>
        <v>#REF!</v>
      </c>
      <c r="H4" s="1042">
        <f ca="1">结果表!H118</f>
        <v>2580</v>
      </c>
      <c r="I4" s="1042">
        <f ca="1">结果表!I118</f>
        <v>11647</v>
      </c>
    </row>
    <row r="5" spans="1:9" ht="30" customHeight="1">
      <c r="A5" s="2998" t="s">
        <v>1635</v>
      </c>
      <c r="B5" s="2998"/>
      <c r="C5" s="2998"/>
      <c r="D5" s="2999" t="e">
        <f ca="1">结果表!D119</f>
        <v>#REF!</v>
      </c>
      <c r="E5" s="2999"/>
      <c r="F5" s="2999" t="e">
        <f ca="1">结果表!F119</f>
        <v>#REF!</v>
      </c>
      <c r="G5" s="2999"/>
      <c r="H5" s="2999" t="str">
        <f ca="1">结果表!H119</f>
        <v>贰仟伍佰捌拾万元整</v>
      </c>
      <c r="I5" s="2999"/>
    </row>
    <row r="6" spans="1:9" ht="15.75">
      <c r="A6" s="3000" t="str">
        <f>结果表!A120</f>
        <v/>
      </c>
      <c r="B6" s="3000"/>
      <c r="C6" s="3000"/>
      <c r="D6" s="3000">
        <f>结果表!D120</f>
        <v>0</v>
      </c>
      <c r="E6" s="3000"/>
      <c r="F6" s="3000"/>
      <c r="G6" s="3000"/>
      <c r="H6" s="3000"/>
      <c r="I6" s="3000"/>
    </row>
    <row r="7" spans="1:9" ht="15">
      <c r="A7" s="2998" t="s">
        <v>1635</v>
      </c>
      <c r="B7" s="2998"/>
      <c r="C7" s="2998"/>
      <c r="D7" s="3001" t="str">
        <f>结果表!D121</f>
        <v>零元整</v>
      </c>
      <c r="E7" s="3002"/>
      <c r="F7" s="3002"/>
      <c r="G7" s="3002"/>
      <c r="H7" s="3002"/>
      <c r="I7" s="3003"/>
    </row>
    <row r="8" spans="1:9" ht="15.75">
      <c r="A8" s="3000" t="str">
        <f>结果表!A122</f>
        <v/>
      </c>
      <c r="B8" s="3000"/>
      <c r="C8" s="3000"/>
      <c r="D8" s="3000">
        <f ca="1">结果表!D122</f>
        <v>2580</v>
      </c>
      <c r="E8" s="3000"/>
      <c r="F8" s="3000"/>
      <c r="G8" s="3000"/>
      <c r="H8" s="3000"/>
      <c r="I8" s="3000"/>
    </row>
    <row r="9" spans="1:9" ht="15">
      <c r="A9" s="2998" t="s">
        <v>1635</v>
      </c>
      <c r="B9" s="2998"/>
      <c r="C9" s="2998"/>
      <c r="D9" s="2999" t="str">
        <f ca="1">结果表!D123</f>
        <v>贰仟伍佰捌拾万元整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1635</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1635</v>
      </c>
      <c r="B13" s="3004"/>
      <c r="C13" s="3004"/>
      <c r="D13" s="3005" t="e">
        <f>结果表!D127</f>
        <v>#VALUE!</v>
      </c>
      <c r="E13" s="3005"/>
      <c r="F13" s="3005"/>
      <c r="G13" s="3005"/>
      <c r="H13" s="3005"/>
      <c r="I13" s="3005"/>
    </row>
    <row r="14" spans="1:9" ht="15" thickTop="1">
      <c r="A14" s="3006" t="s">
        <v>1640</v>
      </c>
      <c r="B14" s="3006"/>
      <c r="C14" s="3006"/>
      <c r="D14" s="3006"/>
      <c r="E14" s="3006"/>
      <c r="F14" s="3006"/>
      <c r="G14" s="3006"/>
      <c r="H14" s="3006"/>
      <c r="I14" s="300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7" t="s">
        <v>1657</v>
      </c>
      <c r="B1" s="3007"/>
      <c r="C1" s="3007"/>
      <c r="D1" s="3007"/>
    </row>
    <row r="2" spans="1:4" ht="18">
      <c r="A2" s="3008" t="s">
        <v>1641</v>
      </c>
      <c r="B2" s="3008"/>
      <c r="C2" s="3008"/>
      <c r="D2" s="3008"/>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08" t="s">
        <v>1647</v>
      </c>
      <c r="B6" s="3008"/>
      <c r="C6" s="3008"/>
      <c r="D6" s="3008"/>
    </row>
    <row r="7" spans="1:4" ht="18.75">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8.75">
      <c r="A10" s="1982" t="s">
        <v>1649</v>
      </c>
      <c r="B10" s="726"/>
      <c r="C10" s="726"/>
      <c r="D10" s="726"/>
    </row>
    <row r="11" spans="1:4" ht="30" customHeight="1">
      <c r="A11" s="3009" t="s">
        <v>1650</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10" t="str">
        <f>IF(项目基本情况!B8="抵押","3.抵押双方在办理抵押登记手续时，应使用本公司出具的正式《房地产评估报告》，特提醒报告使用者注意。","——")</f>
        <v>——</v>
      </c>
      <c r="B13" s="3011"/>
      <c r="C13" s="3011"/>
      <c r="D13" s="3011"/>
    </row>
    <row r="14" spans="1:4" ht="15.75" customHeight="1">
      <c r="A14" s="3010" t="str">
        <f>IF(项目基本情况!B8="抵押","4.本次评估估价师所知悉的法定优先受偿款情况说明如下：","——")</f>
        <v>——</v>
      </c>
      <c r="B14" s="3011"/>
      <c r="C14" s="3011"/>
      <c r="D14" s="3011"/>
    </row>
    <row r="15" spans="1:4" ht="42" customHeight="1">
      <c r="A15" s="3010" t="str">
        <f>IF(项目基本情况!B8="抵押","（1）"&amp;CONCATENATE(项目基本情况!L20,项目基本情况!L21,项目基本情况!L22),"——")</f>
        <v>——</v>
      </c>
      <c r="B15" s="3010"/>
      <c r="C15" s="3010"/>
      <c r="D15" s="3010"/>
    </row>
    <row r="16" spans="1:4" ht="30" customHeight="1">
      <c r="A16" s="3013" t="s">
        <v>1651</v>
      </c>
      <c r="B16" s="3013"/>
      <c r="C16" s="3013"/>
      <c r="D16" s="3013"/>
    </row>
    <row r="17" spans="1:4" ht="144" customHeight="1">
      <c r="A17" s="3013" t="s">
        <v>1652</v>
      </c>
      <c r="B17" s="3013"/>
      <c r="C17" s="3013"/>
      <c r="D17" s="3013"/>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1653</v>
      </c>
      <c r="B22" s="3015"/>
      <c r="C22" s="3015"/>
      <c r="D22" s="3015"/>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21" t="s">
        <v>1664</v>
      </c>
      <c r="B15" s="3016" t="s">
        <v>136</v>
      </c>
      <c r="C15" s="3017"/>
    </row>
    <row r="16" spans="1:7" ht="13.5">
      <c r="A16" s="3022"/>
      <c r="B16" s="3016" t="s">
        <v>69</v>
      </c>
      <c r="C16" s="3017"/>
    </row>
    <row r="17" spans="1:3" ht="13.5">
      <c r="A17" s="3022"/>
      <c r="B17" s="3019" t="s">
        <v>1665</v>
      </c>
      <c r="C17" s="1998" t="s">
        <v>1664</v>
      </c>
    </row>
    <row r="18" spans="1:3" ht="13.5">
      <c r="A18" s="3022"/>
      <c r="B18" s="3019"/>
      <c r="C18" s="1998" t="s">
        <v>1666</v>
      </c>
    </row>
    <row r="19" spans="1:3" ht="13.5">
      <c r="A19" s="3022"/>
      <c r="B19" s="3019"/>
      <c r="C19" s="1998" t="s">
        <v>1667</v>
      </c>
    </row>
    <row r="20" spans="1:3" ht="13.5">
      <c r="A20" s="3023"/>
      <c r="B20" s="3018" t="s">
        <v>1668</v>
      </c>
      <c r="C20" s="3017"/>
    </row>
    <row r="21" spans="1:3" ht="13.5">
      <c r="A21" s="1999" t="s">
        <v>1669</v>
      </c>
      <c r="B21" s="2000"/>
      <c r="C21" s="2001"/>
    </row>
    <row r="22" spans="1:3" ht="13.5">
      <c r="A22" s="3020" t="s">
        <v>1670</v>
      </c>
      <c r="B22" s="3018" t="s">
        <v>1671</v>
      </c>
      <c r="C22" s="3017"/>
    </row>
    <row r="23" spans="1:3" ht="13.5">
      <c r="A23" s="3020"/>
      <c r="B23" s="3018" t="s">
        <v>1672</v>
      </c>
      <c r="C23" s="3017"/>
    </row>
    <row r="24" spans="1:3" ht="13.5">
      <c r="A24" s="3020"/>
      <c r="B24" s="3018" t="s">
        <v>1673</v>
      </c>
      <c r="C24" s="3017"/>
    </row>
    <row r="25" spans="1:3" ht="13.5">
      <c r="A25" s="3020"/>
      <c r="B25" s="3019" t="s">
        <v>1674</v>
      </c>
      <c r="C25" s="1998" t="s">
        <v>1675</v>
      </c>
    </row>
    <row r="26" spans="1:3" ht="13.5">
      <c r="A26" s="3020"/>
      <c r="B26" s="3019"/>
      <c r="C26" s="1998" t="s">
        <v>1676</v>
      </c>
    </row>
    <row r="27" spans="1:3" ht="13.5">
      <c r="A27" s="3020"/>
      <c r="B27" s="3019"/>
      <c r="C27" s="1998" t="s">
        <v>1677</v>
      </c>
    </row>
    <row r="28" spans="1:3" ht="13.5">
      <c r="A28" s="3020"/>
      <c r="B28" s="3019"/>
      <c r="C28" s="1998" t="s">
        <v>1678</v>
      </c>
    </row>
    <row r="29" spans="1:3" ht="13.5">
      <c r="A29" s="3020"/>
      <c r="B29" s="3019"/>
      <c r="C29" s="1998" t="s">
        <v>1679</v>
      </c>
    </row>
    <row r="30" spans="1:3" ht="13.5">
      <c r="A30" s="3020"/>
      <c r="B30" s="3019"/>
      <c r="C30" s="1998" t="s">
        <v>1680</v>
      </c>
    </row>
    <row r="31" spans="1:3" ht="13.5">
      <c r="A31" s="3020"/>
      <c r="B31" s="3019"/>
      <c r="C31" s="1998" t="s">
        <v>1681</v>
      </c>
    </row>
    <row r="32" spans="1:3" ht="13.5">
      <c r="A32" s="3020"/>
      <c r="B32" s="3019"/>
      <c r="C32" s="1998" t="s">
        <v>1682</v>
      </c>
    </row>
    <row r="33" spans="1:3" ht="13.5">
      <c r="A33" s="3020"/>
      <c r="B33" s="3019"/>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43665</v>
      </c>
      <c r="C2" s="1017" t="s">
        <v>826</v>
      </c>
      <c r="D2" s="1017"/>
    </row>
    <row r="3" spans="1:6" ht="24" customHeight="1">
      <c r="A3" s="1018" t="s">
        <v>827</v>
      </c>
      <c r="B3" s="1019" t="s">
        <v>828</v>
      </c>
      <c r="C3" s="2346" t="s">
        <v>829</v>
      </c>
      <c r="D3" s="2349" t="s">
        <v>830</v>
      </c>
      <c r="E3" s="1020" t="s">
        <v>831</v>
      </c>
      <c r="F3" s="1019" t="s">
        <v>829</v>
      </c>
    </row>
    <row r="4" spans="1:6" ht="24" customHeight="1">
      <c r="A4" s="1700" t="s">
        <v>832</v>
      </c>
      <c r="B4" s="1020">
        <f ca="1">IF(C4&lt;B2,"已过期",1119970066)</f>
        <v>1119970066</v>
      </c>
      <c r="C4" s="2347">
        <v>43849</v>
      </c>
      <c r="D4" s="2350" t="s">
        <v>832</v>
      </c>
      <c r="E4" s="1020">
        <f ca="1">IF(F4&lt;B2,"已过期",96010014)</f>
        <v>96010014</v>
      </c>
      <c r="F4" s="1028">
        <v>47118</v>
      </c>
    </row>
    <row r="5" spans="1:6" ht="24" customHeight="1">
      <c r="A5" s="1700" t="s">
        <v>833</v>
      </c>
      <c r="B5" s="1020">
        <f ca="1">IF(C5&lt;B2,"已过期",1119970074)</f>
        <v>1119970074</v>
      </c>
      <c r="C5" s="2347">
        <v>43849</v>
      </c>
      <c r="D5" s="2350" t="s">
        <v>833</v>
      </c>
      <c r="E5" s="1020">
        <f ca="1">IF(F5&lt;B2,"已过期",2002110027)</f>
        <v>2002110027</v>
      </c>
      <c r="F5" s="1028">
        <v>46752</v>
      </c>
    </row>
    <row r="6" spans="1:6" ht="24" customHeight="1">
      <c r="A6" s="1700" t="s">
        <v>834</v>
      </c>
      <c r="B6" s="1020">
        <f ca="1">IF(C6&lt;B2,"已过期",1119970111)</f>
        <v>1119970111</v>
      </c>
      <c r="C6" s="2347">
        <v>43849</v>
      </c>
      <c r="D6" s="2350" t="s">
        <v>834</v>
      </c>
      <c r="E6" s="1020">
        <f ca="1">IF(F6&lt;B2,"已过期",94010078)</f>
        <v>94010078</v>
      </c>
      <c r="F6" s="1028">
        <v>46387</v>
      </c>
    </row>
    <row r="7" spans="1:6" ht="24" customHeight="1">
      <c r="A7" s="1700" t="s">
        <v>835</v>
      </c>
      <c r="B7" s="1020">
        <f ca="1">IF(C7&lt;B2,"已过期",1120050019)</f>
        <v>1120050019</v>
      </c>
      <c r="C7" s="2347">
        <v>44395</v>
      </c>
      <c r="D7" s="2350" t="s">
        <v>835</v>
      </c>
      <c r="E7" s="1020">
        <f ca="1">IF(F7&lt;B2,"已过期",2002110030)</f>
        <v>2002110030</v>
      </c>
      <c r="F7" s="1028">
        <v>46387</v>
      </c>
    </row>
    <row r="8" spans="1:6" ht="24" customHeight="1">
      <c r="A8" s="1700" t="s">
        <v>836</v>
      </c>
      <c r="B8" s="1020">
        <f ca="1">IF(C8&lt;B2,"已过期",1120000080)</f>
        <v>1120000080</v>
      </c>
      <c r="C8" s="2347">
        <v>43849</v>
      </c>
      <c r="D8" s="2350" t="s">
        <v>836</v>
      </c>
      <c r="E8" s="1020">
        <f ca="1">IF(F8&lt;B2,"已过期",2000110082)</f>
        <v>2000110082</v>
      </c>
      <c r="F8" s="1028">
        <v>46387</v>
      </c>
    </row>
    <row r="9" spans="1:6" ht="24" customHeight="1">
      <c r="A9" s="1700" t="s">
        <v>837</v>
      </c>
      <c r="B9" s="1020">
        <f ca="1">IF(C9&lt;B2,"已过期",1419970001)</f>
        <v>1419970001</v>
      </c>
      <c r="C9" s="2347">
        <v>43867</v>
      </c>
      <c r="D9" s="2350" t="s">
        <v>837</v>
      </c>
      <c r="E9" s="1020">
        <f ca="1">IF(F9&lt;B2,"已过期",2002110125)</f>
        <v>2002110125</v>
      </c>
      <c r="F9" s="1028">
        <v>47118</v>
      </c>
    </row>
    <row r="10" spans="1:6" ht="24" customHeight="1">
      <c r="A10" s="1700" t="s">
        <v>838</v>
      </c>
      <c r="B10" s="1020">
        <f ca="1">IF(C10&lt;B2,"已过期",1120060040)</f>
        <v>1120060040</v>
      </c>
      <c r="C10" s="2347">
        <v>44554</v>
      </c>
      <c r="D10" s="2350" t="s">
        <v>838</v>
      </c>
      <c r="E10" s="1020">
        <f ca="1">IF(F10&lt;B2,"已过期",2004110096)</f>
        <v>2004110096</v>
      </c>
      <c r="F10" s="1028">
        <v>47118</v>
      </c>
    </row>
    <row r="11" spans="1:6" ht="24" customHeight="1">
      <c r="A11" s="1700" t="s">
        <v>839</v>
      </c>
      <c r="B11" s="1020">
        <f ca="1">IF(C11&lt;B2,"已过期",1120100036)</f>
        <v>1120100036</v>
      </c>
      <c r="C11" s="2347">
        <v>44675</v>
      </c>
      <c r="D11" s="2350" t="s">
        <v>839</v>
      </c>
      <c r="E11" s="1020">
        <f ca="1">IF(F11&lt;B2,"已过期",2010110070)</f>
        <v>2010110070</v>
      </c>
      <c r="F11" s="1028">
        <v>47907</v>
      </c>
    </row>
    <row r="12" spans="1:6" ht="24" customHeight="1">
      <c r="A12" s="1700"/>
      <c r="B12" s="1020"/>
      <c r="C12" s="2930"/>
      <c r="D12" s="1700"/>
      <c r="E12" s="1020"/>
      <c r="F12" s="1028"/>
    </row>
    <row r="13" spans="1:6" ht="24" customHeight="1">
      <c r="A13" s="1700" t="s">
        <v>840</v>
      </c>
      <c r="B13" s="1020">
        <f ca="1">IF(C13&lt;B2,"已过期",1120070131)</f>
        <v>1120070131</v>
      </c>
      <c r="C13" s="2347">
        <v>43814</v>
      </c>
      <c r="D13" s="2350" t="s">
        <v>840</v>
      </c>
      <c r="E13" s="1020">
        <f ca="1">IF(F13&lt;B2,"已过期",2014110011)</f>
        <v>2014110011</v>
      </c>
      <c r="F13" s="1028">
        <v>49302</v>
      </c>
    </row>
    <row r="14" spans="1:6" ht="24" customHeight="1">
      <c r="A14" s="1700" t="s">
        <v>3043</v>
      </c>
      <c r="B14" s="1020">
        <f ca="1">IF(C14&lt;B2,"已过期",1120040230)</f>
        <v>1120040230</v>
      </c>
      <c r="C14" s="2347">
        <v>43835</v>
      </c>
      <c r="D14" s="2350" t="s">
        <v>3043</v>
      </c>
      <c r="E14" s="1020">
        <f ca="1">IF(F14&lt;B2,"已过期",98030020)</f>
        <v>98030020</v>
      </c>
      <c r="F14" s="1028">
        <v>47118</v>
      </c>
    </row>
    <row r="15" spans="1:6" ht="24" customHeight="1">
      <c r="A15" s="1701" t="s">
        <v>3044</v>
      </c>
      <c r="B15" s="1020">
        <f ca="1">IF(C15&lt;B2,"已过期",1120070085)</f>
        <v>1120070085</v>
      </c>
      <c r="C15" s="2347">
        <v>43814</v>
      </c>
      <c r="D15" s="2351" t="s">
        <v>3044</v>
      </c>
      <c r="E15" s="1020">
        <f ca="1">IF(F15&lt;B2,"已过期",2004110128)</f>
        <v>2004110128</v>
      </c>
      <c r="F15" s="1021">
        <v>47118</v>
      </c>
    </row>
    <row r="16" spans="1:6" ht="24" customHeight="1">
      <c r="A16" s="1700" t="s">
        <v>3045</v>
      </c>
      <c r="B16" s="1020">
        <f ca="1">IF(C16&lt;B2,"已过期",1120140022)</f>
        <v>1120140022</v>
      </c>
      <c r="C16" s="2930">
        <v>44029</v>
      </c>
      <c r="D16" s="2350" t="s">
        <v>3045</v>
      </c>
      <c r="E16" s="1020">
        <f ca="1">IF(F16&lt;B2,"已过期",2008110059)</f>
        <v>2008110059</v>
      </c>
      <c r="F16" s="1028">
        <v>47177</v>
      </c>
    </row>
    <row r="17" spans="1:7" ht="24" customHeight="1">
      <c r="A17" s="1700"/>
      <c r="B17" s="1020"/>
      <c r="C17" s="2347"/>
      <c r="D17" s="2350" t="s">
        <v>3046</v>
      </c>
      <c r="E17" s="1020">
        <f ca="1">IF(F17&lt;B2,"已过期",2014110076)</f>
        <v>2014110076</v>
      </c>
      <c r="F17" s="1028">
        <v>49302</v>
      </c>
    </row>
    <row r="18" spans="1:7" ht="24" customHeight="1">
      <c r="A18" s="1700"/>
      <c r="B18" s="1020"/>
      <c r="C18" s="2347"/>
      <c r="D18" s="2350"/>
      <c r="E18" s="1020"/>
      <c r="F18" s="1028"/>
    </row>
    <row r="19" spans="1:7" ht="24" customHeight="1">
      <c r="A19" s="1700"/>
      <c r="B19" s="1020"/>
      <c r="C19" s="2347"/>
      <c r="D19" s="2350"/>
      <c r="E19" s="1020"/>
      <c r="F19" s="1020"/>
    </row>
    <row r="20" spans="1:7" ht="24" customHeight="1">
      <c r="A20" s="1700"/>
      <c r="B20" s="1020"/>
      <c r="C20" s="2347"/>
      <c r="D20" s="2350"/>
      <c r="E20" s="1020"/>
      <c r="F20" s="1020"/>
    </row>
    <row r="21" spans="1:7" ht="24" customHeight="1">
      <c r="A21" s="1700"/>
      <c r="B21" s="1020"/>
      <c r="C21" s="2347"/>
      <c r="D21" s="2350" t="s">
        <v>841</v>
      </c>
      <c r="E21" s="1020">
        <f ca="1">IF(F21&lt;B2,"已过期",2011110090)</f>
        <v>2011110090</v>
      </c>
      <c r="F21" s="1028">
        <v>48302</v>
      </c>
    </row>
    <row r="22" spans="1:7" ht="24" customHeight="1">
      <c r="A22" s="1700" t="s">
        <v>842</v>
      </c>
      <c r="B22" s="1020">
        <f ca="1">IF(C22&lt;B2,"已过期",1120020033)</f>
        <v>1120020033</v>
      </c>
      <c r="C22" s="2930">
        <v>44339</v>
      </c>
      <c r="D22" s="2350" t="s">
        <v>842</v>
      </c>
      <c r="E22" s="1020">
        <f ca="1">IF(F22&lt;B2,"已过期",2000110137)</f>
        <v>2000110137</v>
      </c>
      <c r="F22" s="1028">
        <v>46387</v>
      </c>
    </row>
    <row r="23" spans="1:7" ht="24" customHeight="1">
      <c r="A23" s="1700"/>
      <c r="B23" s="1020"/>
      <c r="C23" s="2347"/>
      <c r="D23" s="2350"/>
      <c r="E23" s="1020"/>
      <c r="F23" s="1020"/>
    </row>
    <row r="24" spans="1:7" s="1022" customFormat="1" ht="24" customHeight="1">
      <c r="A24" s="1701" t="s">
        <v>1329</v>
      </c>
      <c r="B24" s="1701" t="s">
        <v>1329</v>
      </c>
      <c r="C24" s="2348" t="s">
        <v>1329</v>
      </c>
      <c r="D24" s="2351" t="s">
        <v>1329</v>
      </c>
      <c r="E24" s="1701" t="s">
        <v>1329</v>
      </c>
      <c r="F24" s="1701" t="s">
        <v>1329</v>
      </c>
    </row>
    <row r="25" spans="1:7" ht="24" customHeight="1">
      <c r="A25" s="3024" t="s">
        <v>843</v>
      </c>
      <c r="B25" s="3024"/>
      <c r="C25" s="3024"/>
      <c r="D25" s="3024"/>
      <c r="E25" s="3024"/>
      <c r="F25" s="3024"/>
      <c r="G25" s="3024"/>
    </row>
    <row r="26" spans="1:7" s="1023" customFormat="1" ht="24" customHeight="1">
      <c r="A26" s="3025" t="s">
        <v>844</v>
      </c>
      <c r="B26" s="3025"/>
      <c r="C26" s="3026"/>
      <c r="D26" s="3027" t="s">
        <v>845</v>
      </c>
      <c r="E26" s="3025"/>
      <c r="F26" s="3025"/>
    </row>
    <row r="27" spans="1:7" s="1025" customFormat="1" ht="24" customHeight="1">
      <c r="A27" s="1024" t="s">
        <v>846</v>
      </c>
      <c r="B27" s="1019" t="s">
        <v>847</v>
      </c>
      <c r="C27" s="2346" t="s">
        <v>848</v>
      </c>
      <c r="D27" s="2354" t="s">
        <v>846</v>
      </c>
      <c r="E27" s="1019" t="s">
        <v>847</v>
      </c>
      <c r="F27" s="1019" t="s">
        <v>848</v>
      </c>
    </row>
    <row r="28" spans="1:7" s="1025" customFormat="1" ht="24" customHeight="1">
      <c r="A28" s="1026" t="s">
        <v>849</v>
      </c>
      <c r="B28" s="1027" t="s">
        <v>850</v>
      </c>
      <c r="C28" s="2352">
        <v>43725</v>
      </c>
      <c r="D28" s="2355" t="s">
        <v>851</v>
      </c>
      <c r="E28" s="1026" t="s">
        <v>852</v>
      </c>
      <c r="F28" s="1056">
        <v>44377</v>
      </c>
    </row>
    <row r="29" spans="1:7" s="1025" customFormat="1" ht="24" customHeight="1">
      <c r="A29" s="1026"/>
      <c r="B29" s="1026"/>
      <c r="C29" s="2353"/>
      <c r="D29" s="2355" t="s">
        <v>853</v>
      </c>
      <c r="E29" s="1200" t="s">
        <v>3050</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成本法 (元)</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办公案例</vt:lpstr>
      <vt:lpstr>收益法-办公</vt:lpstr>
      <vt:lpstr>典型户型修正</vt:lpstr>
      <vt:lpstr>结果表-住宅</vt:lpstr>
      <vt:lpstr>比较法-住宅</vt:lpstr>
      <vt:lpstr>收益法-住宅</vt:lpstr>
      <vt:lpstr>基准地价修正</vt:lpstr>
      <vt:lpstr>成本法（废）</vt:lpstr>
      <vt:lpstr>区片价</vt:lpstr>
      <vt:lpstr>因素修正幅度</vt:lpstr>
      <vt:lpstr>存贷款利率</vt:lpstr>
      <vt:lpstr>区片价（范围）</vt:lpstr>
      <vt:lpstr>估价师及机构信息!Print_Area</vt:lpstr>
      <vt:lpstr>收益法!Print_Area</vt:lpstr>
      <vt:lpstr>'收益法-办公'!Print_Area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2019-07-19T03:31:47Z</dcterms:modified>
</cp:coreProperties>
</file>