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5621"/>
</workbook>
</file>

<file path=xl/calcChain.xml><?xml version="1.0" encoding="utf-8"?>
<calcChain xmlns="http://schemas.openxmlformats.org/spreadsheetml/2006/main">
  <c r="AL17" i="3" l="1"/>
  <c r="I17" i="3"/>
  <c r="N7" i="1" l="1"/>
  <c r="N8" i="1"/>
  <c r="K17" i="3" l="1"/>
  <c r="N14" i="1"/>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C8" i="68"/>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O22" i="71"/>
  <c r="C23" i="71" s="1"/>
  <c r="D23" i="71" s="1"/>
  <c r="N22" i="71"/>
  <c r="D22" i="71"/>
  <c r="Q21" i="71"/>
  <c r="P21" i="71"/>
  <c r="O21" i="7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D14" i="71"/>
  <c r="O13" i="71"/>
  <c r="C13" i="71" s="1"/>
  <c r="N13" i="71"/>
  <c r="X13" i="71" s="1"/>
  <c r="B15" i="71"/>
  <c r="B16" i="71" s="1"/>
  <c r="B19" i="71"/>
  <c r="B20" i="71" s="1"/>
  <c r="B23" i="71"/>
  <c r="B24" i="71" s="1"/>
  <c r="B25" i="71" s="1"/>
  <c r="S25" i="71" s="1"/>
  <c r="E23" i="71"/>
  <c r="N53" i="71"/>
  <c r="E19" i="71"/>
  <c r="X15" i="71"/>
  <c r="C19" i="71"/>
  <c r="AA19" i="71"/>
  <c r="AB22"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Q72" i="67"/>
  <c r="Q59" i="67"/>
  <c r="Q58" i="67"/>
  <c r="Q51" i="67"/>
  <c r="J50" i="67"/>
  <c r="M47" i="67"/>
  <c r="J53" i="67" s="1"/>
  <c r="Q52" i="67" s="1"/>
  <c r="D46" i="67"/>
  <c r="F33" i="67"/>
  <c r="F61" i="67" s="1"/>
  <c r="F23" i="67"/>
  <c r="D22"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s="1"/>
  <c r="F25" i="34"/>
  <c r="S25" i="34" s="1"/>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J10" i="36"/>
  <c r="AC10" i="36" s="1"/>
  <c r="AB26" i="33"/>
  <c r="AB30" i="21"/>
  <c r="AA14" i="37"/>
  <c r="W31" i="34"/>
  <c r="AC13" i="36"/>
  <c r="W11" i="35"/>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BQ571" i="3"/>
  <c r="BL571" i="3" s="1"/>
  <c r="BQ569" i="3"/>
  <c r="BL569" i="3" s="1"/>
  <c r="BQ567" i="3"/>
  <c r="BL567" i="3" s="1"/>
  <c r="BQ565" i="3"/>
  <c r="BL565" i="3" s="1"/>
  <c r="BQ563" i="3"/>
  <c r="BL563" i="3" s="1"/>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s="1"/>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G4" i="4"/>
  <c r="I4" i="4"/>
  <c r="K5" i="4"/>
  <c r="B47" i="48" s="1"/>
  <c r="A2" i="9"/>
  <c r="N2" i="43"/>
  <c r="F59" i="43"/>
  <c r="BL549"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AZ160" i="3" s="1"/>
  <c r="G161" i="3"/>
  <c r="BA163" i="3"/>
  <c r="BL164" i="3"/>
  <c r="AZ164" i="3" s="1"/>
  <c r="G165" i="3"/>
  <c r="BA167" i="3"/>
  <c r="AZ167" i="3" s="1"/>
  <c r="BL168" i="3"/>
  <c r="G169" i="3"/>
  <c r="BA171" i="3"/>
  <c r="BL172" i="3"/>
  <c r="G173" i="3"/>
  <c r="BA175" i="3"/>
  <c r="BL176" i="3"/>
  <c r="G177" i="3"/>
  <c r="BA179" i="3"/>
  <c r="BL180" i="3"/>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BL204" i="3"/>
  <c r="AZ67" i="3"/>
  <c r="AZ71" i="3"/>
  <c r="AZ83" i="3"/>
  <c r="AZ85" i="3"/>
  <c r="AZ105" i="3"/>
  <c r="AZ120" i="3"/>
  <c r="AZ128" i="3"/>
  <c r="G516" i="3"/>
  <c r="G494"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90" i="3"/>
  <c r="AZ194"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BL331" i="3"/>
  <c r="G332" i="3"/>
  <c r="BA334" i="3"/>
  <c r="BL335" i="3"/>
  <c r="G336" i="3"/>
  <c r="BA338" i="3"/>
  <c r="BL339" i="3"/>
  <c r="G340" i="3"/>
  <c r="BL343" i="3"/>
  <c r="G344" i="3"/>
  <c r="G348" i="3"/>
  <c r="G355" i="3"/>
  <c r="AZ214"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s="1"/>
  <c r="BA379" i="3"/>
  <c r="AZ379" i="3" s="1"/>
  <c r="BL380" i="3"/>
  <c r="G381" i="3"/>
  <c r="BA383" i="3"/>
  <c r="AZ383" i="3" s="1"/>
  <c r="BL384" i="3"/>
  <c r="AZ384" i="3" s="1"/>
  <c r="G385" i="3"/>
  <c r="BA387" i="3"/>
  <c r="AZ387" i="3" s="1"/>
  <c r="BL388" i="3"/>
  <c r="G389" i="3"/>
  <c r="BA391" i="3"/>
  <c r="AZ391" i="3" s="1"/>
  <c r="BL392" i="3"/>
  <c r="G393" i="3"/>
  <c r="BJ5" i="3"/>
  <c r="AZ309" i="3"/>
  <c r="AZ341" i="3"/>
  <c r="G548" i="3"/>
  <c r="G520" i="3"/>
  <c r="BS5" i="3"/>
  <c r="BN5" i="3"/>
  <c r="BI5" i="3"/>
  <c r="BE5" i="3"/>
  <c r="G17" i="3"/>
  <c r="BA17" i="3"/>
  <c r="AZ360" i="3"/>
  <c r="BA15"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G10" i="1"/>
  <c r="F48" i="9"/>
  <c r="O52" i="9" s="1"/>
  <c r="W37" i="37"/>
  <c r="W44" i="34"/>
  <c r="AC44" i="34"/>
  <c r="S15"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3" i="3"/>
  <c r="AZ117"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Z401" i="3"/>
  <c r="AZ412" i="3"/>
  <c r="AZ428" i="3"/>
  <c r="AC12" i="33"/>
  <c r="AA32" i="36"/>
  <c r="S32" i="36"/>
  <c r="AZ473" i="3"/>
  <c r="BL14" i="3"/>
  <c r="U30" i="33"/>
  <c r="AC13" i="34"/>
  <c r="AA47" i="34"/>
  <c r="F12" i="33"/>
  <c r="F39" i="40"/>
  <c r="BA14" i="3"/>
  <c r="AZ213"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s="1"/>
  <c r="AB17" i="37"/>
  <c r="F75" i="37"/>
  <c r="G75" i="37" s="1"/>
  <c r="F19" i="37"/>
  <c r="F79" i="37"/>
  <c r="F23" i="37"/>
  <c r="S23" i="37" s="1"/>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AB10" i="34" s="1"/>
  <c r="F11" i="34"/>
  <c r="S11" i="34" s="1"/>
  <c r="W42" i="33"/>
  <c r="S27" i="33"/>
  <c r="S32" i="33"/>
  <c r="AA29" i="33"/>
  <c r="AB29" i="33"/>
  <c r="W38" i="33"/>
  <c r="H41" i="33"/>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H27" i="33"/>
  <c r="F87" i="33"/>
  <c r="H25" i="33"/>
  <c r="F25" i="33"/>
  <c r="AA25" i="33" s="1"/>
  <c r="J23" i="33"/>
  <c r="F85" i="33"/>
  <c r="G85" i="33" s="1"/>
  <c r="H23" i="33"/>
  <c r="F81" i="33"/>
  <c r="F19" i="33"/>
  <c r="S19" i="33" s="1"/>
  <c r="J17" i="33"/>
  <c r="F79" i="33"/>
  <c r="G79" i="33" s="1"/>
  <c r="S15" i="33"/>
  <c r="W15"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C18" i="9"/>
  <c r="D18" i="9" s="1"/>
  <c r="F34" i="67"/>
  <c r="F62" i="67" s="1"/>
  <c r="M20" i="67"/>
  <c r="F34" i="15"/>
  <c r="F62" i="15" s="1"/>
  <c r="G13" i="3"/>
  <c r="BA13" i="3"/>
  <c r="J56" i="9"/>
  <c r="J57" i="9" s="1"/>
  <c r="J59" i="9" s="1"/>
  <c r="J61" i="9" s="1"/>
  <c r="A24" i="51"/>
  <c r="B18" i="72" s="1"/>
  <c r="U29" i="34"/>
  <c r="E32" i="6"/>
  <c r="L19" i="6"/>
  <c r="G1" i="68"/>
  <c r="K1" i="12"/>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W31" i="39"/>
  <c r="AC31"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W23" i="37" s="1"/>
  <c r="G79" i="37"/>
  <c r="J10" i="37"/>
  <c r="W10" i="37" s="1"/>
  <c r="H11" i="37"/>
  <c r="U11" i="37" s="1"/>
  <c r="U10" i="37"/>
  <c r="H11" i="34"/>
  <c r="U10" i="34"/>
  <c r="J10" i="34"/>
  <c r="AC10" i="34" s="1"/>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J23" i="21"/>
  <c r="W23" i="21" s="1"/>
  <c r="H23" i="21"/>
  <c r="AB23" i="21" s="1"/>
  <c r="D6" i="52"/>
  <c r="F46" i="36"/>
  <c r="G46" i="36" s="1"/>
  <c r="AP7" i="1"/>
  <c r="W9" i="21"/>
  <c r="AC9" i="21"/>
  <c r="E6" i="70"/>
  <c r="W19" i="37"/>
  <c r="AC23" i="37"/>
  <c r="AB11" i="37"/>
  <c r="J11" i="37"/>
  <c r="W11" i="37" s="1"/>
  <c r="AC10" i="37"/>
  <c r="W10" i="34"/>
  <c r="J11" i="34"/>
  <c r="W11" i="34" s="1"/>
  <c r="W36" i="33"/>
  <c r="U36" i="33"/>
  <c r="W27" i="33"/>
  <c r="AC27" i="33"/>
  <c r="S23" i="33"/>
  <c r="AB19" i="33"/>
  <c r="U19" i="33"/>
  <c r="AB17" i="33"/>
  <c r="F1" i="67"/>
  <c r="AC11" i="37"/>
  <c r="AE6" i="1"/>
  <c r="AG6" i="1"/>
  <c r="H109" i="9"/>
  <c r="J7" i="33"/>
  <c r="W7" i="33" s="1"/>
  <c r="H7" i="33"/>
  <c r="AB7" i="33" s="1"/>
  <c r="T48" i="33" s="1"/>
  <c r="G48" i="33" s="1"/>
  <c r="AC7" i="33"/>
  <c r="V48" i="33" s="1"/>
  <c r="I48" i="33" s="1"/>
  <c r="H112" i="9"/>
  <c r="D21" i="53" s="1"/>
  <c r="B39" i="72" s="1"/>
  <c r="H111" i="9"/>
  <c r="D126" i="9" s="1"/>
  <c r="D59" i="9"/>
  <c r="M55" i="9" s="1"/>
  <c r="AD3" i="71"/>
  <c r="B9" i="76"/>
  <c r="B10" i="76"/>
  <c r="F26" i="15"/>
  <c r="M24" i="15"/>
  <c r="B12" i="76"/>
  <c r="J15" i="15"/>
  <c r="F13" i="67"/>
  <c r="F37" i="67"/>
  <c r="L48" i="15"/>
  <c r="F9" i="15"/>
  <c r="M27" i="15"/>
  <c r="J15" i="67"/>
  <c r="C76" i="67"/>
  <c r="E9" i="76"/>
  <c r="F37" i="15"/>
  <c r="M24" i="67"/>
  <c r="M23" i="67"/>
  <c r="E11" i="76"/>
  <c r="M22" i="67"/>
  <c r="D2" i="36"/>
  <c r="E13" i="76"/>
  <c r="AO12" i="1"/>
  <c r="F8" i="15"/>
  <c r="D2" i="35"/>
  <c r="E2" i="69"/>
  <c r="E7" i="76"/>
  <c r="F13" i="15"/>
  <c r="F6" i="67"/>
  <c r="D2" i="33"/>
  <c r="F6" i="15"/>
  <c r="F36" i="67"/>
  <c r="F8" i="67"/>
  <c r="F26" i="67"/>
  <c r="F5" i="73"/>
  <c r="F40" i="67"/>
  <c r="F38" i="15"/>
  <c r="M22" i="15"/>
  <c r="D2" i="37"/>
  <c r="F4" i="73"/>
  <c r="B7" i="76"/>
  <c r="E2" i="68"/>
  <c r="M9" i="15"/>
  <c r="D2" i="34"/>
  <c r="L47" i="67"/>
  <c r="B13" i="76"/>
  <c r="F3" i="73"/>
  <c r="M28" i="67"/>
  <c r="F42" i="67"/>
  <c r="AO13" i="1"/>
  <c r="M8" i="67"/>
  <c r="M6" i="67"/>
  <c r="F20" i="31"/>
  <c r="AO9" i="1"/>
  <c r="F6" i="73"/>
  <c r="F40" i="15"/>
  <c r="E12" i="76"/>
  <c r="F42" i="15"/>
  <c r="M26" i="15"/>
  <c r="F16" i="15"/>
  <c r="AO10" i="1"/>
  <c r="C76" i="15"/>
  <c r="E10" i="76"/>
  <c r="M26" i="67"/>
  <c r="F7" i="73"/>
  <c r="B8" i="76"/>
  <c r="M28" i="15"/>
  <c r="F9" i="67"/>
  <c r="AO6" i="1"/>
  <c r="B11" i="76"/>
  <c r="M8" i="15"/>
  <c r="F41" i="67"/>
  <c r="E8" i="76"/>
  <c r="M9" i="67"/>
  <c r="F36" i="15"/>
  <c r="M6" i="15"/>
  <c r="M23" i="15"/>
  <c r="AO11" i="1"/>
  <c r="D2" i="21"/>
  <c r="L47" i="15"/>
  <c r="M27" i="67"/>
  <c r="F16" i="67"/>
  <c r="F38" i="67"/>
  <c r="AC25" i="33" l="1"/>
  <c r="W25" i="33"/>
  <c r="AA17" i="33"/>
  <c r="S17" i="33"/>
  <c r="H110" i="9"/>
  <c r="D18" i="53" s="1"/>
  <c r="B35" i="72" s="1"/>
  <c r="D16" i="53"/>
  <c r="B34" i="72" s="1"/>
  <c r="AB11" i="34"/>
  <c r="U11" i="34"/>
  <c r="AB9" i="33"/>
  <c r="U9" i="33"/>
  <c r="AC26" i="33"/>
  <c r="W26" i="33"/>
  <c r="W27" i="34"/>
  <c r="AC27" i="34"/>
  <c r="BA587" i="3"/>
  <c r="BL561" i="3"/>
  <c r="BA560" i="3"/>
  <c r="BA559" i="3"/>
  <c r="BL558" i="3"/>
  <c r="BL554" i="3"/>
  <c r="BA548" i="3"/>
  <c r="BA547" i="3"/>
  <c r="BL544" i="3"/>
  <c r="BA540" i="3"/>
  <c r="BA539" i="3"/>
  <c r="BA532" i="3"/>
  <c r="AZ532" i="3" s="1"/>
  <c r="BA531" i="3"/>
  <c r="BL524" i="3"/>
  <c r="BA524" i="3"/>
  <c r="BA523" i="3"/>
  <c r="BL516" i="3"/>
  <c r="BA516" i="3"/>
  <c r="BL513" i="3"/>
  <c r="BA513" i="3"/>
  <c r="BA510" i="3"/>
  <c r="BA509" i="3"/>
  <c r="BA504" i="3"/>
  <c r="AZ504" i="3" s="1"/>
  <c r="BA503" i="3"/>
  <c r="BA498" i="3"/>
  <c r="AZ498" i="3" s="1"/>
  <c r="BT5" i="3"/>
  <c r="BA495" i="3"/>
  <c r="BO5" i="3"/>
  <c r="BF5" i="3"/>
  <c r="BP5" i="3"/>
  <c r="G29" i="6" s="1"/>
  <c r="BK5" i="3"/>
  <c r="BG5" i="3"/>
  <c r="S22" i="31"/>
  <c r="R22" i="31" s="1"/>
  <c r="B21" i="31" s="1"/>
  <c r="C7" i="43"/>
  <c r="AZ372" i="3"/>
  <c r="AZ565" i="3"/>
  <c r="AZ573" i="3"/>
  <c r="AZ563" i="3"/>
  <c r="W29" i="33"/>
  <c r="AA13" i="35"/>
  <c r="F27" i="39"/>
  <c r="G582" i="3"/>
  <c r="G416" i="3"/>
  <c r="BL417" i="3"/>
  <c r="BA419" i="3"/>
  <c r="BL419" i="3"/>
  <c r="G420" i="3"/>
  <c r="BL421" i="3"/>
  <c r="BL423" i="3"/>
  <c r="G432" i="3"/>
  <c r="BL433" i="3"/>
  <c r="BA435" i="3"/>
  <c r="BL435" i="3"/>
  <c r="G436" i="3"/>
  <c r="BA437" i="3"/>
  <c r="G438" i="3"/>
  <c r="BA439" i="3"/>
  <c r="G440" i="3"/>
  <c r="BL441" i="3"/>
  <c r="G442" i="3"/>
  <c r="BA443" i="3"/>
  <c r="AZ443" i="3" s="1"/>
  <c r="BL445" i="3"/>
  <c r="G446" i="3"/>
  <c r="BL447" i="3"/>
  <c r="G448" i="3"/>
  <c r="BL449" i="3"/>
  <c r="BA451" i="3"/>
  <c r="BL451" i="3"/>
  <c r="G452" i="3"/>
  <c r="BL453" i="3"/>
  <c r="BL455" i="3"/>
  <c r="G458" i="3"/>
  <c r="G462" i="3"/>
  <c r="G464" i="3"/>
  <c r="BL465" i="3"/>
  <c r="G480" i="3"/>
  <c r="G482" i="3"/>
  <c r="BA483" i="3"/>
  <c r="G484" i="3"/>
  <c r="BA485" i="3"/>
  <c r="BL485" i="3"/>
  <c r="BA486" i="3"/>
  <c r="AZ486" i="3" s="1"/>
  <c r="BA487" i="3"/>
  <c r="AZ487" i="3" s="1"/>
  <c r="BL487" i="3"/>
  <c r="BA488" i="3"/>
  <c r="AZ488" i="3" s="1"/>
  <c r="BA490" i="3"/>
  <c r="BL490" i="3"/>
  <c r="BL492" i="3"/>
  <c r="G307" i="3"/>
  <c r="BL308" i="3"/>
  <c r="AZ308" i="3" s="1"/>
  <c r="G311" i="3"/>
  <c r="BL317" i="3"/>
  <c r="BA319" i="3"/>
  <c r="AZ319" i="3" s="1"/>
  <c r="BA323" i="3"/>
  <c r="AZ323" i="3" s="1"/>
  <c r="BA348" i="3"/>
  <c r="G349" i="3"/>
  <c r="BA350" i="3"/>
  <c r="AZ350" i="3" s="1"/>
  <c r="BL350" i="3"/>
  <c r="BA353" i="3"/>
  <c r="AZ353" i="3" s="1"/>
  <c r="G358" i="3"/>
  <c r="BL359" i="3"/>
  <c r="AZ359" i="3" s="1"/>
  <c r="BA366" i="3"/>
  <c r="AZ366" i="3" s="1"/>
  <c r="BL368" i="3"/>
  <c r="BA370" i="3"/>
  <c r="BA374" i="3"/>
  <c r="AZ374" i="3" s="1"/>
  <c r="G209" i="3"/>
  <c r="G227" i="3"/>
  <c r="G231" i="3"/>
  <c r="BL232" i="3"/>
  <c r="BL234" i="3"/>
  <c r="BA236" i="3"/>
  <c r="G237" i="3"/>
  <c r="BA238" i="3"/>
  <c r="G239" i="3"/>
  <c r="BL240" i="3"/>
  <c r="G241" i="3"/>
  <c r="BA242" i="3"/>
  <c r="BL242" i="3"/>
  <c r="BL244" i="3"/>
  <c r="G245" i="3"/>
  <c r="BA246" i="3"/>
  <c r="BL246" i="3"/>
  <c r="BA247" i="3"/>
  <c r="AZ247" i="3" s="1"/>
  <c r="BA248" i="3"/>
  <c r="AZ248" i="3" s="1"/>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BA286" i="3"/>
  <c r="G287" i="3"/>
  <c r="BA288" i="3"/>
  <c r="G289" i="3"/>
  <c r="BA290" i="3"/>
  <c r="BL290" i="3"/>
  <c r="BL292" i="3"/>
  <c r="G293" i="3"/>
  <c r="BL294" i="3"/>
  <c r="BL296" i="3"/>
  <c r="BA298" i="3"/>
  <c r="G299" i="3"/>
  <c r="BL300" i="3"/>
  <c r="G134" i="3"/>
  <c r="G136" i="3"/>
  <c r="BL137" i="3"/>
  <c r="G140" i="3"/>
  <c r="BL141" i="3"/>
  <c r="G144" i="3"/>
  <c r="BL145" i="3"/>
  <c r="G148" i="3"/>
  <c r="BA149" i="3"/>
  <c r="G150" i="3"/>
  <c r="BL151" i="3"/>
  <c r="AZ151" i="3" s="1"/>
  <c r="BA153" i="3"/>
  <c r="BL153" i="3"/>
  <c r="BL155" i="3"/>
  <c r="AZ155" i="3" s="1"/>
  <c r="G156" i="3"/>
  <c r="BA157" i="3"/>
  <c r="AZ157" i="3" s="1"/>
  <c r="BA158" i="3"/>
  <c r="AZ158" i="3" s="1"/>
  <c r="BL159" i="3"/>
  <c r="AZ159" i="3" s="1"/>
  <c r="BA161" i="3"/>
  <c r="AZ161" i="3" s="1"/>
  <c r="BA162" i="3"/>
  <c r="AZ162" i="3" s="1"/>
  <c r="BL163" i="3"/>
  <c r="AZ163" i="3" s="1"/>
  <c r="BA166" i="3"/>
  <c r="BL166" i="3"/>
  <c r="BA168" i="3"/>
  <c r="AZ168" i="3" s="1"/>
  <c r="BA170" i="3"/>
  <c r="G171" i="3"/>
  <c r="BL174" i="3"/>
  <c r="BA176" i="3"/>
  <c r="AZ176" i="3" s="1"/>
  <c r="BL178" i="3"/>
  <c r="BA180" i="3"/>
  <c r="AZ180" i="3" s="1"/>
  <c r="G183" i="3"/>
  <c r="I15" i="66"/>
  <c r="I20" i="66"/>
  <c r="C40" i="68"/>
  <c r="S21" i="33"/>
  <c r="BL195" i="3"/>
  <c r="AZ195" i="3" s="1"/>
  <c r="BA198" i="3"/>
  <c r="AZ198" i="3" s="1"/>
  <c r="BL198" i="3"/>
  <c r="BA200" i="3"/>
  <c r="AZ200" i="3" s="1"/>
  <c r="BA202" i="3"/>
  <c r="G203" i="3"/>
  <c r="G205" i="3"/>
  <c r="BL206" i="3"/>
  <c r="G207" i="3"/>
  <c r="G19" i="3"/>
  <c r="BL20" i="3"/>
  <c r="G21" i="3"/>
  <c r="BA22" i="3"/>
  <c r="BL22" i="3"/>
  <c r="G23" i="3"/>
  <c r="BL24" i="3"/>
  <c r="G25" i="3"/>
  <c r="BA26" i="3"/>
  <c r="G27" i="3"/>
  <c r="BL28" i="3"/>
  <c r="G29" i="3"/>
  <c r="BL30" i="3"/>
  <c r="BA31" i="3"/>
  <c r="AZ31" i="3" s="1"/>
  <c r="BA32" i="3"/>
  <c r="AZ32" i="3" s="1"/>
  <c r="BL32" i="3"/>
  <c r="BL34" i="3"/>
  <c r="G35" i="3"/>
  <c r="BA36" i="3"/>
  <c r="BL36" i="3"/>
  <c r="BL38" i="3"/>
  <c r="G39" i="3"/>
  <c r="BA40" i="3"/>
  <c r="BL40" i="3"/>
  <c r="BA42" i="3"/>
  <c r="AZ42" i="3" s="1"/>
  <c r="BL42" i="3"/>
  <c r="BL44" i="3"/>
  <c r="G45" i="3"/>
  <c r="BA46" i="3"/>
  <c r="BL46" i="3"/>
  <c r="BL48" i="3"/>
  <c r="G49" i="3"/>
  <c r="BA50" i="3"/>
  <c r="G51" i="3"/>
  <c r="BL52" i="3"/>
  <c r="BA54" i="3"/>
  <c r="G55" i="3"/>
  <c r="BL56" i="3"/>
  <c r="G59" i="3"/>
  <c r="G63" i="3"/>
  <c r="G77" i="3"/>
  <c r="G91" i="3"/>
  <c r="BA92" i="3"/>
  <c r="G93" i="3"/>
  <c r="BA94" i="3"/>
  <c r="G95" i="3"/>
  <c r="BA96" i="3"/>
  <c r="BL96" i="3"/>
  <c r="BL98" i="3"/>
  <c r="G99" i="3"/>
  <c r="P27" i="6"/>
  <c r="X14" i="71"/>
  <c r="Y21" i="71"/>
  <c r="Z21" i="71" s="1"/>
  <c r="AA21" i="71"/>
  <c r="AB10" i="43"/>
  <c r="AC38" i="37"/>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BL551" i="3"/>
  <c r="BA549" i="3"/>
  <c r="AZ549" i="3" s="1"/>
  <c r="BL546" i="3"/>
  <c r="BA546" i="3"/>
  <c r="BL545" i="3"/>
  <c r="BA545" i="3"/>
  <c r="BL542" i="3"/>
  <c r="BA542" i="3"/>
  <c r="BA541" i="3"/>
  <c r="BL540" i="3"/>
  <c r="AZ540" i="3" s="1"/>
  <c r="BL538" i="3"/>
  <c r="BA538" i="3"/>
  <c r="BA537" i="3"/>
  <c r="AZ537" i="3" s="1"/>
  <c r="BL536" i="3"/>
  <c r="AZ536" i="3" s="1"/>
  <c r="BA534" i="3"/>
  <c r="AZ534" i="3" s="1"/>
  <c r="BA533" i="3"/>
  <c r="AZ533" i="3" s="1"/>
  <c r="BL530" i="3"/>
  <c r="BA530" i="3"/>
  <c r="BL529" i="3"/>
  <c r="BA529" i="3"/>
  <c r="BL528" i="3"/>
  <c r="AZ528" i="3" s="1"/>
  <c r="BL526" i="3"/>
  <c r="BA526" i="3"/>
  <c r="BA525" i="3"/>
  <c r="BL522" i="3"/>
  <c r="BA522" i="3"/>
  <c r="BA521" i="3"/>
  <c r="BA519" i="3"/>
  <c r="BL518" i="3"/>
  <c r="BA518" i="3"/>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M18"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BL450" i="3"/>
  <c r="BA452" i="3"/>
  <c r="BL452" i="3"/>
  <c r="BA453" i="3"/>
  <c r="AZ453" i="3" s="1"/>
  <c r="BA454" i="3"/>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J7" i="34"/>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E6" i="71" s="1"/>
  <c r="E5"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F68" i="15"/>
  <c r="N59" i="15"/>
  <c r="M59" i="15"/>
  <c r="L59" i="15" s="1"/>
  <c r="L58" i="15"/>
  <c r="F65" i="15"/>
  <c r="Q71" i="67"/>
  <c r="B13" i="70"/>
  <c r="B20" i="31"/>
  <c r="F69" i="67"/>
  <c r="F65" i="67"/>
  <c r="Q71" i="15"/>
  <c r="F51" i="67"/>
  <c r="B11" i="70"/>
  <c r="I1" i="73"/>
  <c r="B39" i="1" s="1"/>
  <c r="C27" i="15"/>
  <c r="F51" i="15"/>
  <c r="F64" i="15"/>
  <c r="C27" i="67"/>
  <c r="B12" i="70"/>
  <c r="B9" i="70"/>
  <c r="K1" i="73"/>
  <c r="F31" i="15"/>
  <c r="F59" i="15"/>
  <c r="M17" i="67"/>
  <c r="M17" i="15"/>
  <c r="F59" i="67"/>
  <c r="F31" i="67"/>
  <c r="M9" i="84"/>
  <c r="M22" i="84"/>
  <c r="F38" i="84"/>
  <c r="F8" i="84"/>
  <c r="F42" i="84"/>
  <c r="M8" i="84"/>
  <c r="C76" i="84"/>
  <c r="F6" i="84"/>
  <c r="F9" i="84"/>
  <c r="F36" i="84"/>
  <c r="L48" i="67"/>
  <c r="F16" i="84"/>
  <c r="M24" i="84"/>
  <c r="L48" i="84"/>
  <c r="F13" i="84"/>
  <c r="M26" i="84"/>
  <c r="F40" i="84"/>
  <c r="M23" i="84"/>
  <c r="J15" i="84"/>
  <c r="M27" i="84"/>
  <c r="F37" i="84"/>
  <c r="L47" i="84"/>
  <c r="F26" i="84"/>
  <c r="M28" i="84"/>
  <c r="M6" i="84"/>
  <c r="AZ477" i="3" l="1"/>
  <c r="AZ459" i="3"/>
  <c r="AZ442" i="3"/>
  <c r="AZ51" i="3"/>
  <c r="AZ454" i="3"/>
  <c r="AZ434" i="3"/>
  <c r="AZ497" i="3"/>
  <c r="AZ518" i="3"/>
  <c r="AZ522" i="3"/>
  <c r="AZ530" i="3"/>
  <c r="AZ538" i="3"/>
  <c r="AZ542" i="3"/>
  <c r="AZ546" i="3"/>
  <c r="AZ552" i="3"/>
  <c r="S27" i="39"/>
  <c r="AA27" i="39"/>
  <c r="AZ182" i="3"/>
  <c r="AZ166" i="3"/>
  <c r="AZ266" i="3"/>
  <c r="AZ256" i="3"/>
  <c r="AZ490" i="3"/>
  <c r="I54" i="67"/>
  <c r="L56" i="67"/>
  <c r="J57" i="67"/>
  <c r="J55" i="67" s="1"/>
  <c r="J58" i="67" s="1"/>
  <c r="Q50" i="67" s="1"/>
  <c r="L58" i="67"/>
  <c r="Q73" i="67" s="1"/>
  <c r="G9" i="1"/>
  <c r="AZ58" i="3"/>
  <c r="O52" i="71"/>
  <c r="C51" i="71"/>
  <c r="D52" i="71"/>
  <c r="C71" i="71"/>
  <c r="D71" i="71" s="1"/>
  <c r="D72" i="71"/>
  <c r="AZ133" i="3"/>
  <c r="AZ287" i="3"/>
  <c r="AZ422" i="3"/>
  <c r="G21" i="6"/>
  <c r="AH8" i="1"/>
  <c r="AN18" i="3"/>
  <c r="BR18" i="3" s="1"/>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J7" i="36"/>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F20" i="6"/>
  <c r="E20" i="6" s="1"/>
  <c r="K5" i="3"/>
  <c r="BC16" i="3"/>
  <c r="BC5" i="3" s="1"/>
  <c r="F19" i="6"/>
  <c r="AL16" i="3"/>
  <c r="BB16" i="3"/>
  <c r="H16" i="3"/>
  <c r="I5" i="3"/>
  <c r="F64" i="84"/>
  <c r="F51" i="84"/>
  <c r="F66" i="84"/>
  <c r="Q71" i="84"/>
  <c r="F68" i="84"/>
  <c r="F65" i="84"/>
  <c r="L56" i="84"/>
  <c r="L57" i="84"/>
  <c r="L60" i="84"/>
  <c r="J53" i="84"/>
  <c r="Q52" i="84" s="1"/>
  <c r="C27" i="84"/>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AZ23" i="3"/>
  <c r="F11" i="84"/>
  <c r="M11" i="84"/>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M11" i="15"/>
  <c r="F11" i="67"/>
  <c r="F11" i="15"/>
  <c r="M11" i="67"/>
  <c r="J10" i="67" s="1"/>
  <c r="Q60" i="15"/>
  <c r="Q73" i="15"/>
  <c r="Q74" i="15"/>
  <c r="Q61" i="15"/>
  <c r="Q61" i="67"/>
  <c r="Q74" i="67"/>
  <c r="D6" i="73"/>
  <c r="D4" i="73"/>
  <c r="D5" i="73"/>
  <c r="D3" i="73"/>
  <c r="D7" i="73"/>
  <c r="F7" i="84"/>
  <c r="AE7" i="1"/>
  <c r="H7" i="85" l="1"/>
  <c r="Q61" i="84"/>
  <c r="Q60" i="67"/>
  <c r="C6" i="84"/>
  <c r="F50" i="84"/>
  <c r="C49" i="84" s="1"/>
  <c r="M7" i="84"/>
  <c r="J6" i="84" s="1"/>
  <c r="J10" i="84" s="1"/>
  <c r="J5" i="84" s="1"/>
  <c r="E20" i="43"/>
  <c r="BD5" i="3"/>
  <c r="BA18" i="3"/>
  <c r="D51" i="71"/>
  <c r="O51" i="71"/>
  <c r="O50" i="71"/>
  <c r="D25" i="71"/>
  <c r="T25" i="71"/>
  <c r="BR5" i="3"/>
  <c r="G28" i="6" s="1"/>
  <c r="G30" i="6" s="1"/>
  <c r="BL18" i="3"/>
  <c r="G16" i="3"/>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53" i="84"/>
  <c r="C10" i="84"/>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F7" i="15"/>
  <c r="G1" i="73"/>
  <c r="AE8" i="1"/>
  <c r="F41" i="84" s="1"/>
  <c r="F41" i="15"/>
  <c r="J24" i="84" l="1"/>
  <c r="J26" i="84"/>
  <c r="C5" i="84"/>
  <c r="C33" i="84" s="1"/>
  <c r="J18" i="84"/>
  <c r="B40" i="1"/>
  <c r="C48" i="84"/>
  <c r="C66" i="84" s="1"/>
  <c r="AZ18" i="3"/>
  <c r="P17" i="43"/>
  <c r="N17" i="43"/>
  <c r="M17" i="43"/>
  <c r="O17" i="43"/>
  <c r="F50" i="15"/>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84"/>
  <c r="J29" i="84"/>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66" i="15"/>
  <c r="C60" i="84" l="1"/>
  <c r="C38" i="84"/>
  <c r="C32" i="84"/>
  <c r="F24" i="84"/>
  <c r="C24" i="84" s="1"/>
  <c r="F22" i="68"/>
  <c r="F22" i="69"/>
  <c r="F24" i="15"/>
  <c r="C24" i="15" s="1"/>
  <c r="F24" i="67"/>
  <c r="C24" i="67" s="1"/>
  <c r="F22" i="11"/>
  <c r="F25" i="12"/>
  <c r="C26" i="12" s="1"/>
  <c r="D25" i="12" s="1"/>
  <c r="C32" i="15"/>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C23" i="11" l="1"/>
  <c r="C44" i="11"/>
  <c r="D41" i="11" s="1"/>
  <c r="C26" i="11"/>
  <c r="D22" i="11" s="1"/>
  <c r="C26" i="68"/>
  <c r="D22" i="68" s="1"/>
  <c r="C44" i="68"/>
  <c r="D41" i="68" s="1"/>
  <c r="C44" i="69"/>
  <c r="D41" i="69" s="1"/>
  <c r="C26" i="69"/>
  <c r="D22" i="69" s="1"/>
  <c r="H103" i="43"/>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T4" i="43" s="1"/>
  <c r="V4" i="43" s="1"/>
  <c r="H33" i="85"/>
  <c r="J33" i="85"/>
  <c r="F33" i="85"/>
  <c r="B3" i="3"/>
  <c r="E194" i="3" s="1"/>
  <c r="C33" i="21"/>
  <c r="K8" i="1"/>
  <c r="E7" i="12"/>
  <c r="E27" i="6"/>
  <c r="I63" i="40"/>
  <c r="H65" i="40"/>
  <c r="C19" i="68"/>
  <c r="I68" i="39"/>
  <c r="H70" i="39"/>
  <c r="T14" i="43"/>
  <c r="V14" i="43" s="1"/>
  <c r="C34" i="43"/>
  <c r="T10" i="43"/>
  <c r="V10" i="43" s="1"/>
  <c r="T7" i="43"/>
  <c r="V7" i="43" s="1"/>
  <c r="C33" i="43"/>
  <c r="T16" i="43"/>
  <c r="V16" i="43" s="1"/>
  <c r="T13" i="43"/>
  <c r="V13" i="43" s="1"/>
  <c r="T8" i="43"/>
  <c r="V8" i="43" s="1"/>
  <c r="T2" i="43"/>
  <c r="V2" i="43" s="1"/>
  <c r="C38" i="43"/>
  <c r="T3" i="43"/>
  <c r="V3" i="43" s="1"/>
  <c r="M29" i="15"/>
  <c r="M29" i="84"/>
  <c r="M29" i="67"/>
  <c r="F43" i="84"/>
  <c r="F7" i="67"/>
  <c r="F43" i="67"/>
  <c r="F43" i="15"/>
  <c r="C39" i="43" l="1"/>
  <c r="T6" i="43"/>
  <c r="V6" i="43" s="1"/>
  <c r="T5" i="43"/>
  <c r="V5" i="43" s="1"/>
  <c r="C36" i="43"/>
  <c r="C35" i="43"/>
  <c r="C37" i="43"/>
  <c r="T15" i="43"/>
  <c r="V15" i="43" s="1"/>
  <c r="T9" i="43"/>
  <c r="V9" i="43" s="1"/>
  <c r="T12" i="43"/>
  <c r="V12" i="43" s="1"/>
  <c r="T11" i="43"/>
  <c r="V11" i="43" s="1"/>
  <c r="C29" i="43"/>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84"/>
  <c r="C16" i="67"/>
  <c r="C16" i="15"/>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E6" i="76"/>
  <c r="C17" i="84"/>
  <c r="C17" i="67"/>
  <c r="C17" i="15"/>
  <c r="C14" i="67"/>
  <c r="E6" i="3" l="1"/>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M21" i="15"/>
  <c r="F35" i="67"/>
  <c r="M21" i="84"/>
  <c r="F35" i="84"/>
  <c r="C14" i="84"/>
  <c r="B6" i="76"/>
  <c r="F35" i="15"/>
  <c r="C14" i="15"/>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49" i="69" s="1"/>
  <c r="C51" i="69" s="1"/>
  <c r="C28" i="69"/>
  <c r="C27" i="69" s="1"/>
  <c r="C31" i="69" s="1"/>
  <c r="C19" i="84"/>
  <c r="C20" i="84" s="1"/>
  <c r="B2" i="21"/>
  <c r="C8" i="12" s="1"/>
  <c r="B3" i="21"/>
  <c r="C6" i="12" s="1"/>
  <c r="C23" i="67"/>
  <c r="C29" i="67" s="1"/>
  <c r="C19" i="15"/>
  <c r="C20" i="15" s="1"/>
  <c r="C26" i="15" s="1"/>
  <c r="J14" i="67"/>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D2" i="67" s="1"/>
  <c r="B2" i="67" s="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J16" i="15"/>
  <c r="J25" i="15" s="1"/>
  <c r="Q57" i="67"/>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Q62" i="67" l="1"/>
  <c r="B3" i="67"/>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L51" i="84"/>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D34" i="9"/>
  <c r="C20" i="9"/>
  <c r="D35"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<sst xmlns="http://schemas.openxmlformats.org/spreadsheetml/2006/main" count="9092" uniqueCount="3369">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</sst>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54986</v>
      </c>
    </row>
    <row r="21" spans="1:2" s="1592" customFormat="1">
      <c r="A21" s="1590" t="s">
        <v>1227</v>
      </c>
      <c r="B21" s="1591">
        <f ca="1">'预评函-2'!D7</f>
        <v>3466</v>
      </c>
    </row>
    <row r="22" spans="1:2" s="1592" customFormat="1">
      <c r="A22" s="1590" t="s">
        <v>1228</v>
      </c>
      <c r="B22" s="1591" t="str">
        <f ca="1">'预评函-2'!D6</f>
        <v>伍亿肆仟玖佰捌拾陆万元整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54986</v>
      </c>
    </row>
    <row r="31" spans="1:2" s="1592" customFormat="1">
      <c r="A31" s="1590" t="s">
        <v>1266</v>
      </c>
      <c r="B31" s="1591">
        <f ca="1">'预评函-2'!D15</f>
        <v>3466</v>
      </c>
    </row>
    <row r="32" spans="1:2" s="1592" customFormat="1">
      <c r="A32" s="1590" t="s">
        <v>1233</v>
      </c>
      <c r="B32" s="1591" t="str">
        <f ca="1">'预评函-2'!D14</f>
        <v>伍亿肆仟玖佰捌拾陆万元整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158663.65</v>
      </c>
    </row>
    <row r="44" spans="1:2" s="1592" customFormat="1">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39040</v>
      </c>
    </row>
    <row r="48" spans="1:2" s="1592" customFormat="1">
      <c r="A48" s="1590" t="s">
        <v>1239</v>
      </c>
      <c r="B48" s="1591">
        <f ca="1">'预评函-3'!E4</f>
        <v>2461</v>
      </c>
    </row>
    <row r="49" spans="1:2" s="1592" customFormat="1">
      <c r="A49" s="1590" t="s">
        <v>1240</v>
      </c>
      <c r="B49" s="1591" t="str">
        <f ca="1">'预评函-3'!D5</f>
        <v>叁亿玖仟零肆拾万元整</v>
      </c>
    </row>
    <row r="50" spans="1:2" s="1592" customFormat="1">
      <c r="A50" s="1590" t="s">
        <v>1264</v>
      </c>
      <c r="B50" s="1591" t="str">
        <f>'预评函-3'!F2</f>
        <v>在建建筑物价值</v>
      </c>
    </row>
    <row r="51" spans="1:2" s="1592" customFormat="1">
      <c r="A51" s="1590" t="s">
        <v>1241</v>
      </c>
      <c r="B51" s="1591">
        <f ca="1">'预评函-3'!F4</f>
        <v>15946</v>
      </c>
    </row>
    <row r="52" spans="1:2" s="1592" customFormat="1">
      <c r="A52" s="1590" t="s">
        <v>1242</v>
      </c>
      <c r="B52" s="1591">
        <f ca="1">'预评函-3'!G4</f>
        <v>1005</v>
      </c>
    </row>
    <row r="53" spans="1:2" s="1592" customFormat="1">
      <c r="A53" s="1590" t="s">
        <v>1270</v>
      </c>
      <c r="B53" s="1591" t="str">
        <f ca="1">'预评函-3'!F5</f>
        <v>壹亿伍仟玖佰肆拾陆万元整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7"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50"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51"/>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7"/>
      <c r="C16" s="3058"/>
      <c r="D16" s="3059"/>
      <c r="E16" s="2083" t="s">
        <v>1761</v>
      </c>
      <c r="F16" s="3060"/>
      <c r="G16" s="3061"/>
      <c r="H16" s="3061"/>
      <c r="I16" s="3062"/>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63"/>
      <c r="F17" s="3064"/>
      <c r="G17" s="3064"/>
      <c r="H17" s="3064"/>
      <c r="I17" s="3065"/>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66"/>
      <c r="F18" s="3067"/>
      <c r="G18" s="3067"/>
      <c r="H18" s="3067"/>
      <c r="I18" s="3068"/>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53" t="s">
        <v>1771</v>
      </c>
      <c r="C20" s="3054"/>
      <c r="D20" s="3055" t="s">
        <v>1772</v>
      </c>
      <c r="E20" s="3056"/>
      <c r="F20" s="2095" t="s">
        <v>1773</v>
      </c>
      <c r="G20" s="2041"/>
      <c r="H20" s="2041"/>
      <c r="I20" s="2041"/>
      <c r="J20" s="2041"/>
      <c r="K20" s="3052"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40"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0"/>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0"/>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1"/>
      <c r="B30" s="2034" t="s">
        <v>1789</v>
      </c>
      <c r="C30" s="3042"/>
      <c r="D30" s="304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4"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5"/>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5"/>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39" t="s">
        <v>1799</v>
      </c>
      <c r="T34" s="2132" t="str">
        <f>NUMBERSTRING(7-K34,1)&amp;"通"</f>
        <v>七通</v>
      </c>
      <c r="U34" s="2028"/>
      <c r="V34" s="2028"/>
    </row>
    <row r="35" spans="1:22" ht="18" customHeight="1">
      <c r="A35" s="2133"/>
      <c r="B35" s="3046" t="s">
        <v>1800</v>
      </c>
      <c r="C35" s="3046"/>
      <c r="D35" s="3046"/>
      <c r="E35" s="3046"/>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9"/>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2.75">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12.75">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G3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0" t="s">
        <v>1896</v>
      </c>
      <c r="B2" s="3080"/>
      <c r="C2" s="3080"/>
      <c r="D2" s="967" t="s">
        <v>1872</v>
      </c>
      <c r="E2" s="2225" t="s">
        <v>1873</v>
      </c>
      <c r="F2" s="1392"/>
      <c r="G2" s="2226"/>
      <c r="H2" s="2227"/>
      <c r="I2" s="2228" t="s">
        <v>1897</v>
      </c>
      <c r="J2" s="1392"/>
      <c r="K2" s="1392"/>
      <c r="L2" s="1392"/>
      <c r="M2" s="1392"/>
      <c r="N2" s="1427"/>
      <c r="O2" s="1392"/>
      <c r="P2" s="1392"/>
    </row>
    <row r="3" spans="1:16" ht="15.7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5">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5">
      <c r="A7" s="3077"/>
      <c r="B7" s="3078"/>
      <c r="C7" s="3079"/>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5">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7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4" sqref="F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0.16</v>
      </c>
      <c r="O6" s="75">
        <f>IF($N$5="成新度","——",ROUND(M6*N6,0))</f>
        <v>7031</v>
      </c>
      <c r="P6" s="76">
        <f>IF($N$5="成新度","——",M6-O6)</f>
        <v>36910</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554</v>
      </c>
      <c r="AR6" s="55">
        <f>ROUND($L$14*(1-$N$14)*S6/10000,0)</f>
        <v>2907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0.16</v>
      </c>
      <c r="O7" s="75">
        <f t="shared" ref="O7:O14" si="3">IF($N$5="成新度","——",ROUND(M7*N7,0))</f>
        <v>205</v>
      </c>
      <c r="P7" s="76">
        <f t="shared" ref="P7:P14" si="4">IF($N$5="成新度","——",M7-O7)</f>
        <v>1078</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28</v>
      </c>
      <c r="AR7" s="55">
        <f t="shared" ref="AR7:AR13" si="11">ROUND($L$14*(1-$N$14)*S7/10000,0)</f>
        <v>149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0.16</v>
      </c>
      <c r="O8" s="75">
        <f t="shared" si="3"/>
        <v>239</v>
      </c>
      <c r="P8" s="76">
        <f t="shared" si="4"/>
        <v>1257</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33</v>
      </c>
      <c r="AR8" s="55">
        <f t="shared" si="11"/>
        <v>173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0.16</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0.16</v>
      </c>
      <c r="O14" s="75">
        <f t="shared" si="3"/>
        <v>615</v>
      </c>
      <c r="P14" s="76">
        <f t="shared" si="4"/>
        <v>3229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0.16</v>
      </c>
      <c r="O16" s="102">
        <f>SUM(O6:O14)</f>
        <v>8090</v>
      </c>
      <c r="P16" s="102">
        <f>SUM(P6:P14)</f>
        <v>42474</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158663.65</v>
      </c>
      <c r="C1" s="1741"/>
      <c r="D1" s="1741"/>
      <c r="E1" s="1741"/>
      <c r="F1" s="1741"/>
      <c r="G1" s="1739"/>
    </row>
    <row r="2" spans="1:10" ht="16.5">
      <c r="A2" s="1742" t="s">
        <v>1345</v>
      </c>
      <c r="B2" s="1742">
        <f>SUM(C14:C23)</f>
        <v>25219.64</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54986</v>
      </c>
      <c r="C5" s="1742">
        <f ca="1">ROUND(B5*10000/$B$1,0)</f>
        <v>3466</v>
      </c>
      <c r="D5" s="1742">
        <f ca="1">ROUND(B5*10000/$B$2,0)</f>
        <v>21803</v>
      </c>
      <c r="E5" s="1741"/>
      <c r="F5" s="1739"/>
      <c r="G5" s="1739"/>
    </row>
    <row r="6" spans="1:10" ht="16.5">
      <c r="A6" s="1742" t="s">
        <v>1348</v>
      </c>
      <c r="B6" s="1742">
        <f ca="1">SUM(G14:G23)</f>
        <v>54986</v>
      </c>
      <c r="C6" s="1742">
        <f ca="1">ROUND(B6*10000/$B$1,0)</f>
        <v>3466</v>
      </c>
      <c r="D6" s="1742">
        <f ca="1">ROUND(B6*10000/$B$2,0)</f>
        <v>21803</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158663.65</v>
      </c>
      <c r="C14" s="1740">
        <f>结果表!C118</f>
        <v>25219.64</v>
      </c>
      <c r="D14" s="1740">
        <f ca="1">结果表!H118</f>
        <v>54986</v>
      </c>
      <c r="E14" s="1740">
        <f ca="1">ROUND(D14*10000/B14,0)</f>
        <v>3466</v>
      </c>
      <c r="F14" s="1740">
        <f ca="1">ROUND(D14*10000/C14,0)</f>
        <v>21803</v>
      </c>
      <c r="G14" s="1740">
        <f ca="1">结果表!D122</f>
        <v>54986</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21" t="str">
        <f>项目基本情况!S2</f>
        <v>山东省济南市槐荫区西客站片区淮坊路东侧、威海路北侧D-1一期出让国有建设用地使用权及在建建筑物房地产</v>
      </c>
      <c r="B2" s="3122"/>
      <c r="C2" s="3122"/>
      <c r="D2" s="3122"/>
      <c r="E2" s="3122"/>
      <c r="F2" s="3122"/>
      <c r="G2" s="3122"/>
      <c r="H2" s="3122"/>
      <c r="I2" s="3123"/>
    </row>
    <row r="3" spans="1:12" ht="12.75">
      <c r="A3" s="3125" t="s">
        <v>2073</v>
      </c>
      <c r="B3" s="3126"/>
      <c r="C3" s="3126"/>
      <c r="D3" s="3126"/>
      <c r="E3" s="3126"/>
      <c r="F3" s="3126"/>
      <c r="G3" s="3126"/>
      <c r="H3" s="3126"/>
      <c r="I3" s="3126"/>
    </row>
    <row r="4" spans="1:12" ht="14.25">
      <c r="A4" s="2422" t="s">
        <v>2074</v>
      </c>
      <c r="B4" s="2423" t="s">
        <v>2075</v>
      </c>
      <c r="C4" s="2424" t="s">
        <v>3051</v>
      </c>
      <c r="D4" s="2424" t="s">
        <v>3052</v>
      </c>
      <c r="E4" s="3118" t="s">
        <v>2076</v>
      </c>
      <c r="F4" s="3119"/>
      <c r="G4" s="3119"/>
      <c r="H4" s="311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2077</v>
      </c>
      <c r="B5" s="3039">
        <v>25</v>
      </c>
      <c r="C5" s="3104"/>
      <c r="D5" s="3124"/>
      <c r="E5" s="140" t="s">
        <v>2078</v>
      </c>
      <c r="F5" s="2426"/>
      <c r="G5" s="2426"/>
      <c r="H5" s="2426"/>
      <c r="I5" s="1830"/>
    </row>
    <row r="6" spans="1:12" ht="12.75">
      <c r="A6" s="3101"/>
      <c r="B6" s="3039"/>
      <c r="C6" s="3105"/>
      <c r="D6" s="3124"/>
      <c r="E6" s="140" t="s">
        <v>2079</v>
      </c>
      <c r="F6" s="2426"/>
      <c r="G6" s="2426"/>
      <c r="H6" s="2426"/>
      <c r="I6" s="1830"/>
    </row>
    <row r="7" spans="1:12" ht="12.75">
      <c r="A7" s="3101"/>
      <c r="B7" s="3039"/>
      <c r="C7" s="3106"/>
      <c r="D7" s="3124"/>
      <c r="E7" s="140" t="s">
        <v>2080</v>
      </c>
      <c r="F7" s="2426"/>
      <c r="G7" s="2426"/>
      <c r="H7" s="2426"/>
      <c r="I7" s="1830"/>
    </row>
    <row r="8" spans="1:12" ht="12.75">
      <c r="A8" s="3101" t="s">
        <v>2081</v>
      </c>
      <c r="B8" s="3039">
        <v>15</v>
      </c>
      <c r="C8" s="3104"/>
      <c r="D8" s="3124"/>
      <c r="E8" s="140" t="s">
        <v>2082</v>
      </c>
      <c r="F8" s="2426"/>
      <c r="G8" s="2426"/>
      <c r="H8" s="2426"/>
      <c r="I8" s="1830"/>
    </row>
    <row r="9" spans="1:12" ht="12.75">
      <c r="A9" s="3101"/>
      <c r="B9" s="3039"/>
      <c r="C9" s="3106"/>
      <c r="D9" s="3124"/>
      <c r="E9" s="140" t="s">
        <v>2083</v>
      </c>
      <c r="F9" s="2426"/>
      <c r="G9" s="2426"/>
      <c r="H9" s="2426"/>
      <c r="I9" s="1830"/>
    </row>
    <row r="10" spans="1:12" ht="12.75">
      <c r="A10" s="3101" t="s">
        <v>2084</v>
      </c>
      <c r="B10" s="3039">
        <v>15</v>
      </c>
      <c r="C10" s="3104"/>
      <c r="D10" s="3124"/>
      <c r="E10" s="140" t="s">
        <v>2085</v>
      </c>
      <c r="F10" s="2426"/>
      <c r="G10" s="2426"/>
      <c r="H10" s="2426"/>
      <c r="I10" s="1830"/>
    </row>
    <row r="11" spans="1:12" ht="12.75">
      <c r="A11" s="3101"/>
      <c r="B11" s="3039"/>
      <c r="C11" s="3106"/>
      <c r="D11" s="3124"/>
      <c r="E11" s="140" t="s">
        <v>2086</v>
      </c>
      <c r="F11" s="2426"/>
      <c r="G11" s="2426"/>
      <c r="H11" s="2426"/>
      <c r="I11" s="1830"/>
    </row>
    <row r="12" spans="1:12" ht="12.75">
      <c r="A12" s="3101" t="s">
        <v>2087</v>
      </c>
      <c r="B12" s="3039">
        <v>15</v>
      </c>
      <c r="C12" s="3104"/>
      <c r="D12" s="3124"/>
      <c r="E12" s="140" t="s">
        <v>2088</v>
      </c>
      <c r="F12" s="2426"/>
      <c r="G12" s="2426"/>
      <c r="H12" s="2426"/>
      <c r="I12" s="1830"/>
    </row>
    <row r="13" spans="1:12" ht="12.75">
      <c r="A13" s="3101"/>
      <c r="B13" s="3039"/>
      <c r="C13" s="3106"/>
      <c r="D13" s="3124"/>
      <c r="E13" s="140" t="s">
        <v>2089</v>
      </c>
      <c r="F13" s="2426"/>
      <c r="G13" s="2426"/>
      <c r="H13" s="2426"/>
      <c r="I13" s="1830"/>
    </row>
    <row r="14" spans="1:12" ht="12.75">
      <c r="A14" s="3101" t="s">
        <v>2090</v>
      </c>
      <c r="B14" s="3039">
        <v>30</v>
      </c>
      <c r="C14" s="3104">
        <v>4</v>
      </c>
      <c r="D14" s="3124">
        <v>6</v>
      </c>
      <c r="E14" s="140" t="s">
        <v>2091</v>
      </c>
      <c r="F14" s="2426"/>
      <c r="G14" s="2426"/>
      <c r="H14" s="2426"/>
      <c r="I14" s="1830"/>
    </row>
    <row r="15" spans="1:12" ht="12.75">
      <c r="A15" s="3101"/>
      <c r="B15" s="3039"/>
      <c r="C15" s="3105"/>
      <c r="D15" s="3124"/>
      <c r="E15" s="140" t="s">
        <v>2092</v>
      </c>
      <c r="F15" s="2426"/>
      <c r="G15" s="2426"/>
      <c r="H15" s="2426"/>
      <c r="I15" s="1830"/>
    </row>
    <row r="16" spans="1:12" ht="12.75">
      <c r="A16" s="3101"/>
      <c r="B16" s="3039"/>
      <c r="C16" s="3106"/>
      <c r="D16" s="3124"/>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5">
      <c r="A19" s="2431" t="s">
        <v>2099</v>
      </c>
      <c r="B19" s="2432" t="s">
        <v>2100</v>
      </c>
      <c r="C19" s="143">
        <f ca="1">SUMIF(INDIRECT("'"&amp;C4&amp;"'"&amp;"!A:A"),结果表!B19,INDIRECT("'"&amp;C4&amp;"'"&amp;"!B:B"))</f>
        <v>40903</v>
      </c>
      <c r="D19" s="144">
        <f ca="1">SUMIF(INDIRECT("'"&amp;D4&amp;"'"&amp;"!A:A"),结果表!B19,INDIRECT("'"&amp;D4&amp;"'"&amp;"!B:B"))</f>
        <v>64374</v>
      </c>
      <c r="E19" s="2431" t="s">
        <v>2101</v>
      </c>
      <c r="F19" s="2432" t="s">
        <v>2100</v>
      </c>
      <c r="G19" s="145">
        <f ca="1">ROUND(C19*$C$18+D19*$D$18,0)</f>
        <v>54986</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5">
      <c r="A20" s="2434"/>
      <c r="B20" s="1247" t="s">
        <v>2104</v>
      </c>
      <c r="C20" s="146">
        <f ca="1">SUMIF(INDIRECT("'"&amp;C4&amp;"'"&amp;"!A:A"),结果表!B20,INDIRECT("'"&amp;C4&amp;"'"&amp;"!B:B"))</f>
        <v>2578</v>
      </c>
      <c r="D20" s="147">
        <f ca="1">SUMIF(INDIRECT("'"&amp;D4&amp;"'"&amp;"!A:A"),结果表!B20,INDIRECT("'"&amp;D4&amp;"'"&amp;"!B:B"))</f>
        <v>4057</v>
      </c>
      <c r="E20" s="2434"/>
      <c r="F20" s="1247" t="s">
        <v>2104</v>
      </c>
      <c r="G20" s="148">
        <f ca="1">ROUND(C20*$C$18+D20*$D$18,0)</f>
        <v>3465</v>
      </c>
      <c r="H20" s="980" t="s">
        <v>2105</v>
      </c>
      <c r="I20" s="138"/>
    </row>
    <row r="21" spans="1:35" ht="15" customHeight="1" thickBot="1">
      <c r="A21" s="1000"/>
      <c r="B21" s="2435" t="s">
        <v>2106</v>
      </c>
      <c r="C21" s="789">
        <f ca="1">ROUND(C19*10000/L19,0)</f>
        <v>16219</v>
      </c>
      <c r="D21" s="790">
        <f ca="1">ROUND(D19*10000/L19,0)</f>
        <v>25525</v>
      </c>
      <c r="E21" s="1000"/>
      <c r="F21" s="2435" t="s">
        <v>2106</v>
      </c>
      <c r="G21" s="149">
        <f ca="1">ROUND(G19*10000/L19,0)</f>
        <v>21803</v>
      </c>
      <c r="H21" s="2436" t="s">
        <v>2105</v>
      </c>
      <c r="I21" s="138"/>
    </row>
    <row r="22" spans="1:35" ht="15" thickBot="1">
      <c r="A22" s="2279" t="s">
        <v>2107</v>
      </c>
      <c r="B22" s="2437"/>
      <c r="C22" s="2438"/>
      <c r="D22" s="791">
        <f ca="1">IF(C19&lt;D19,D19/C19-1,C19/D19-1)</f>
        <v>0.57382099112534535</v>
      </c>
      <c r="E22" s="138"/>
      <c r="F22" s="138"/>
      <c r="G22" s="138"/>
      <c r="H22" s="138"/>
      <c r="I22" s="138"/>
    </row>
    <row r="23" spans="1:35" ht="13.5" thickBot="1">
      <c r="A23" s="2415"/>
      <c r="B23" s="2415"/>
      <c r="C23" s="2415"/>
      <c r="D23" s="2415"/>
      <c r="E23" s="138"/>
      <c r="F23" s="138"/>
      <c r="G23" s="138"/>
      <c r="H23" s="138"/>
      <c r="I23" s="138"/>
    </row>
    <row r="24" spans="1:35" ht="14.25">
      <c r="A24" s="3095" t="s">
        <v>2108</v>
      </c>
      <c r="B24" s="2432" t="s">
        <v>2100</v>
      </c>
      <c r="C24" s="145">
        <f>IF(B30=0,0,D30)</f>
        <v>0</v>
      </c>
      <c r="D24" s="2439"/>
      <c r="E24" s="138"/>
      <c r="F24" s="138"/>
      <c r="G24" s="138"/>
      <c r="H24" s="138"/>
      <c r="I24" s="138"/>
    </row>
    <row r="25" spans="1:35" ht="14.25">
      <c r="A25" s="3096"/>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4040.3357565599613</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54986</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39040</v>
      </c>
      <c r="D34" s="1055">
        <f ca="1">IF(C33="自定义",ROUND(C34/C32,3),IF(C33="收益比率",SUMIF(INDIRECT("'"&amp;D33&amp;"'"&amp;"!b:b"),"土地收益比率",INDIRECT("'"&amp;D33&amp;"'"&amp;"!c:c")),SUMIF(INDIRECT("'"&amp;D33&amp;"'"&amp;"!b:b"),"土地成本比率",INDIRECT("'"&amp;D33&amp;"'"&amp;"!c:c"))))</f>
        <v>0.71</v>
      </c>
      <c r="E34" s="2454" t="s">
        <v>2119</v>
      </c>
      <c r="F34" s="1735"/>
      <c r="G34" s="138"/>
      <c r="H34" s="138"/>
      <c r="I34" s="138"/>
    </row>
    <row r="35" spans="1:15" ht="15.75" thickBot="1">
      <c r="A35" s="2455"/>
      <c r="B35" s="2456" t="s">
        <v>2120</v>
      </c>
      <c r="C35" s="1441">
        <f ca="1">IF(C33="自定义",F35,ROUND(C32*D35,0))</f>
        <v>15946</v>
      </c>
      <c r="D35" s="1442">
        <f ca="1">IF(C33="自定义",ROUND(C35/C32,3),IF(C33="收益比率",SUMIF(INDIRECT("'"&amp;D33&amp;"'"&amp;"!b:b"),"建筑物收益比率",INDIRECT("'"&amp;D33&amp;"'"&amp;"!c:c")),SUMIF(INDIRECT("'"&amp;D33&amp;"'"&amp;"!b:b"),"建筑物成本比率",INDIRECT("'"&amp;D33&amp;"'"&amp;"!c:c"))))</f>
        <v>0.28999999999999998</v>
      </c>
      <c r="E35" s="2457" t="s">
        <v>2121</v>
      </c>
      <c r="F35" s="163"/>
      <c r="G35" s="138"/>
      <c r="H35" s="138"/>
      <c r="I35" s="138"/>
    </row>
    <row r="36" spans="1:15" ht="15.75" thickBot="1">
      <c r="A36" s="3113" t="s">
        <v>2122</v>
      </c>
      <c r="B36" s="2458" t="s">
        <v>2123</v>
      </c>
      <c r="C36" s="154"/>
      <c r="D36" s="2459"/>
      <c r="E36" s="2460"/>
      <c r="F36" s="2461"/>
      <c r="G36" s="138"/>
      <c r="H36" s="138"/>
      <c r="I36" s="138"/>
    </row>
    <row r="37" spans="1:15" ht="15.75" thickBot="1">
      <c r="A37" s="3114"/>
      <c r="B37" s="2265" t="s">
        <v>2124</v>
      </c>
      <c r="C37" s="156"/>
      <c r="D37" s="1392"/>
      <c r="E37" s="1392"/>
      <c r="F37" s="2461"/>
      <c r="G37" s="138"/>
      <c r="H37" s="138"/>
      <c r="I37" s="138"/>
    </row>
    <row r="38" spans="1:15" ht="15.75" thickBot="1">
      <c r="A38" s="3115"/>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92" t="s">
        <v>2136</v>
      </c>
      <c r="B45" s="3093"/>
      <c r="C45" s="3094"/>
      <c r="D45" s="164">
        <f ca="1">ROUND(H101*F45,0)</f>
        <v>54986</v>
      </c>
      <c r="E45" s="165" t="s">
        <v>2137</v>
      </c>
      <c r="F45" s="166">
        <v>1</v>
      </c>
      <c r="G45" s="167" t="s">
        <v>2138</v>
      </c>
      <c r="H45" s="138"/>
      <c r="I45" s="138"/>
      <c r="J45" s="3152" t="s">
        <v>2139</v>
      </c>
      <c r="K45" s="3152"/>
      <c r="L45" s="3152"/>
      <c r="M45" s="3152"/>
      <c r="N45" s="3152"/>
      <c r="O45" s="3152"/>
    </row>
    <row r="46" spans="1:15" ht="14.25" customHeight="1">
      <c r="A46" s="3089" t="s">
        <v>2140</v>
      </c>
      <c r="B46" s="3090"/>
      <c r="C46" s="3090"/>
      <c r="D46" s="3090"/>
      <c r="E46" s="3090"/>
      <c r="F46" s="3090"/>
      <c r="G46" s="3091"/>
      <c r="H46" s="2477"/>
      <c r="I46" s="168"/>
      <c r="J46" s="1808">
        <v>1</v>
      </c>
      <c r="K46" s="3152" t="s">
        <v>2141</v>
      </c>
      <c r="L46" s="3152"/>
      <c r="M46" s="3172"/>
      <c r="N46" s="3172"/>
      <c r="O46" s="3172"/>
    </row>
    <row r="47" spans="1:15" ht="12" customHeight="1">
      <c r="A47" s="169" t="s">
        <v>2142</v>
      </c>
      <c r="B47" s="170"/>
      <c r="C47" s="171"/>
      <c r="D47" s="172" t="s">
        <v>2143</v>
      </c>
      <c r="E47" s="24" t="s">
        <v>2144</v>
      </c>
      <c r="F47" s="173" t="s">
        <v>2145</v>
      </c>
      <c r="G47" s="174" t="s">
        <v>2146</v>
      </c>
      <c r="H47" s="2477"/>
      <c r="I47" s="168"/>
      <c r="J47" s="1808">
        <v>2</v>
      </c>
      <c r="K47" s="3152" t="s">
        <v>2147</v>
      </c>
      <c r="L47" s="3152"/>
      <c r="M47" s="3173">
        <f>'数据-取费表'!B2</f>
        <v>43630</v>
      </c>
      <c r="N47" s="3173"/>
      <c r="O47" s="3173"/>
    </row>
    <row r="48" spans="1:15" ht="25.5">
      <c r="A48" s="3120" t="s">
        <v>2148</v>
      </c>
      <c r="B48" s="3103"/>
      <c r="C48" s="3103"/>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52" t="s">
        <v>2151</v>
      </c>
      <c r="L48" s="3152"/>
      <c r="M48" s="3174">
        <f ca="1">H101</f>
        <v>54986</v>
      </c>
      <c r="N48" s="3174"/>
      <c r="O48" s="3174"/>
    </row>
    <row r="49" spans="1:35" ht="25.5" customHeight="1">
      <c r="A49" s="176" t="s">
        <v>2152</v>
      </c>
      <c r="B49" s="3088" t="s">
        <v>2153</v>
      </c>
      <c r="C49" s="3088"/>
      <c r="D49" s="177">
        <v>0</v>
      </c>
      <c r="E49" s="23" t="s">
        <v>2154</v>
      </c>
      <c r="F49" s="28" t="s">
        <v>34</v>
      </c>
      <c r="G49" s="3158"/>
      <c r="H49" s="138"/>
      <c r="I49" s="2480"/>
      <c r="J49" s="1808">
        <v>4</v>
      </c>
      <c r="K49" s="3152" t="str">
        <f>IF(项目基本情况!E8="房地产抵押价值","房地产抵押价值","抵押担保权已注销时的房地产抵押价值")</f>
        <v>房地产抵押价值</v>
      </c>
      <c r="L49" s="3152"/>
      <c r="M49" s="3174">
        <f ca="1">IF(项目基本情况!E8="房地产抵押价值",H107,H109)</f>
        <v>54986</v>
      </c>
      <c r="N49" s="3174"/>
      <c r="O49" s="3174"/>
    </row>
    <row r="50" spans="1:35" ht="25.5" customHeight="1">
      <c r="A50" s="178"/>
      <c r="B50" s="3088" t="s">
        <v>2155</v>
      </c>
      <c r="C50" s="3088"/>
      <c r="D50" s="179"/>
      <c r="E50" s="31"/>
      <c r="F50" s="180"/>
      <c r="G50" s="3159"/>
      <c r="H50" s="138"/>
      <c r="I50" s="2480"/>
      <c r="J50" s="3152" t="s">
        <v>2156</v>
      </c>
      <c r="K50" s="3152"/>
      <c r="L50" s="3152"/>
      <c r="M50" s="3152"/>
      <c r="N50" s="3152"/>
      <c r="O50" s="3152"/>
    </row>
    <row r="51" spans="1:35" ht="12" customHeight="1">
      <c r="A51" s="181"/>
      <c r="B51" s="3088" t="s">
        <v>2157</v>
      </c>
      <c r="C51" s="3088"/>
      <c r="D51" s="182"/>
      <c r="E51" s="30"/>
      <c r="F51" s="180"/>
      <c r="G51" s="3160"/>
      <c r="H51" s="138"/>
      <c r="I51" s="2480"/>
      <c r="J51" s="2481" t="s">
        <v>2158</v>
      </c>
      <c r="K51" s="3152" t="s">
        <v>2159</v>
      </c>
      <c r="L51" s="3152"/>
      <c r="M51" s="2481" t="s">
        <v>2160</v>
      </c>
      <c r="N51" s="2481" t="s">
        <v>2161</v>
      </c>
      <c r="O51" s="2481" t="s">
        <v>2162</v>
      </c>
    </row>
    <row r="52" spans="1:35" ht="24" customHeight="1">
      <c r="A52" s="183" t="s">
        <v>2163</v>
      </c>
      <c r="B52" s="3088" t="s">
        <v>2164</v>
      </c>
      <c r="C52" s="3088"/>
      <c r="D52" s="182">
        <f ca="1">ROUND(D45*'数据-取费表'!B41/(1+'数据-取费表'!C42),0)</f>
        <v>2933</v>
      </c>
      <c r="E52" s="11" t="s">
        <v>2165</v>
      </c>
      <c r="F52" s="184">
        <f>'数据-取费表'!B41</f>
        <v>5.6000000000000001E-2</v>
      </c>
      <c r="G52" s="2482"/>
      <c r="H52" s="138"/>
      <c r="I52" s="2480"/>
      <c r="J52" s="1808">
        <v>1</v>
      </c>
      <c r="K52" s="3153" t="s">
        <v>2166</v>
      </c>
      <c r="L52" s="3153"/>
      <c r="M52" s="1750">
        <f>D48</f>
        <v>0</v>
      </c>
      <c r="N52" s="1808" t="str">
        <f>E48</f>
        <v>销售额×税（费）率</v>
      </c>
      <c r="O52" s="1751" t="str">
        <f>F48</f>
        <v>免征</v>
      </c>
    </row>
    <row r="53" spans="1:35" ht="12" customHeight="1">
      <c r="A53" s="183" t="s">
        <v>2167</v>
      </c>
      <c r="B53" s="3111" t="s">
        <v>2168</v>
      </c>
      <c r="C53" s="3112"/>
      <c r="D53" s="182">
        <f ca="1">ROUND(D45*'数据-取费表'!B41/(1+'数据-取费表'!C42),0)</f>
        <v>2933</v>
      </c>
      <c r="E53" s="11" t="s">
        <v>2165</v>
      </c>
      <c r="F53" s="184">
        <f>'数据-取费表'!B41</f>
        <v>5.6000000000000001E-2</v>
      </c>
      <c r="G53" s="2482"/>
      <c r="H53" s="138"/>
      <c r="I53" s="2480"/>
      <c r="J53" s="1808">
        <v>2</v>
      </c>
      <c r="K53" s="3153" t="s">
        <v>2169</v>
      </c>
      <c r="L53" s="3153"/>
      <c r="M53" s="1750">
        <f t="shared" ref="M53:O54" ca="1" si="0">D55</f>
        <v>27</v>
      </c>
      <c r="N53" s="1808" t="str">
        <f t="shared" si="0"/>
        <v>销售额×税（费）率</v>
      </c>
      <c r="O53" s="1751">
        <f t="shared" si="0"/>
        <v>5.0000000000000001E-4</v>
      </c>
    </row>
    <row r="54" spans="1:35" ht="12" customHeight="1">
      <c r="A54" s="183" t="s">
        <v>2170</v>
      </c>
      <c r="B54" s="3111" t="s">
        <v>2171</v>
      </c>
      <c r="C54" s="3112"/>
      <c r="D54" s="182">
        <f ca="1">C68</f>
        <v>2933</v>
      </c>
      <c r="E54" s="30" t="s">
        <v>2172</v>
      </c>
      <c r="F54" s="184">
        <f>'数据-取费表'!B41</f>
        <v>5.6000000000000001E-2</v>
      </c>
      <c r="G54" s="2482"/>
      <c r="H54" s="2483"/>
      <c r="I54" s="2480"/>
      <c r="J54" s="1808">
        <v>3</v>
      </c>
      <c r="K54" s="3153" t="s">
        <v>2173</v>
      </c>
      <c r="L54" s="3153"/>
      <c r="M54" s="1750">
        <f t="shared" ca="1" si="0"/>
        <v>31123</v>
      </c>
      <c r="N54" s="1808" t="str">
        <f t="shared" si="0"/>
        <v>增值额×税（费）率</v>
      </c>
      <c r="O54" s="1752" t="str">
        <f t="shared" si="0"/>
        <v>——</v>
      </c>
    </row>
    <row r="55" spans="1:35" ht="24" customHeight="1">
      <c r="A55" s="3102" t="s">
        <v>2174</v>
      </c>
      <c r="B55" s="3103"/>
      <c r="C55" s="3103"/>
      <c r="D55" s="185">
        <f ca="1">IF(H55="个人住宅",0,ROUND(D45*I55,0))</f>
        <v>27</v>
      </c>
      <c r="E55" s="11" t="s">
        <v>2175</v>
      </c>
      <c r="F55" s="184">
        <f>IF(H55="正常",I55,"免征")</f>
        <v>5.0000000000000001E-4</v>
      </c>
      <c r="G55" s="2482"/>
      <c r="H55" s="2479" t="s">
        <v>2176</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4.75">
      <c r="A56" s="3102" t="s">
        <v>2177</v>
      </c>
      <c r="B56" s="3103"/>
      <c r="C56" s="3103"/>
      <c r="D56" s="185">
        <f ca="1">IF(H56="个人住宅",D57,D58)</f>
        <v>31123</v>
      </c>
      <c r="E56" s="11" t="s">
        <v>2178</v>
      </c>
      <c r="F56" s="184" t="str">
        <f>IF(H56="正常",F58,"免征")</f>
        <v>——</v>
      </c>
      <c r="G56" s="2484" t="s">
        <v>2179</v>
      </c>
      <c r="H56" s="2485" t="s">
        <v>2176</v>
      </c>
      <c r="I56" s="2486"/>
      <c r="J56" s="1808" t="str">
        <f>IF(项目基本情况!K6="上海银行",IF(J55="",4,J55+1),"")</f>
        <v/>
      </c>
      <c r="K56" s="3176" t="str">
        <f>IF(项目基本情况!K6="上海银行","其他处置费用","")</f>
        <v/>
      </c>
      <c r="L56" s="3177"/>
      <c r="M56" s="1750" t="str">
        <f>IF(项目基本情况!K6="上海银行",M69,"")</f>
        <v/>
      </c>
      <c r="N56" s="3179" t="str">
        <f>IF(项目基本情况!K6="上海银行","包含处置中涉及的律师、诉讼、拍卖、评估等费用","")</f>
        <v/>
      </c>
      <c r="O56" s="3180"/>
    </row>
    <row r="57" spans="1:35" ht="12.75">
      <c r="A57" s="183" t="s">
        <v>2152</v>
      </c>
      <c r="B57" s="3118" t="s">
        <v>2180</v>
      </c>
      <c r="C57" s="3127"/>
      <c r="D57" s="187">
        <v>0</v>
      </c>
      <c r="E57" s="23" t="s">
        <v>2154</v>
      </c>
      <c r="F57" s="155"/>
      <c r="G57" s="2482"/>
      <c r="H57" s="2486"/>
      <c r="I57" s="2486"/>
      <c r="J57" s="3153">
        <f>IF(AND(J55="",J56=""),4,IF(项目基本情况!K6="上海银行",结果表!J56+1,结果表!J55+1))</f>
        <v>4</v>
      </c>
      <c r="K57" s="3153" t="s">
        <v>2181</v>
      </c>
      <c r="L57" s="2487" t="s">
        <v>2182</v>
      </c>
      <c r="M57" s="1755"/>
      <c r="N57" s="1756">
        <f ca="1">SUMIF(M52:M56,"&lt;9e307")</f>
        <v>31150</v>
      </c>
      <c r="O57" s="2488"/>
      <c r="P57" s="1749">
        <f ca="1">N57/M49</f>
        <v>0.56650783835885499</v>
      </c>
    </row>
    <row r="58" spans="1:35" ht="24.75">
      <c r="A58" s="183" t="s">
        <v>2163</v>
      </c>
      <c r="B58" s="3118" t="s">
        <v>2183</v>
      </c>
      <c r="C58" s="3119"/>
      <c r="D58" s="185">
        <f ca="1">IF(H58="转让取得",C81,C97)</f>
        <v>31123</v>
      </c>
      <c r="E58" s="11" t="s">
        <v>2178</v>
      </c>
      <c r="F58" s="24" t="s">
        <v>34</v>
      </c>
      <c r="G58" s="2482"/>
      <c r="H58" s="2485" t="s">
        <v>2184</v>
      </c>
      <c r="I58" s="2486"/>
      <c r="J58" s="3153"/>
      <c r="K58" s="3153"/>
      <c r="L58" s="2487" t="s">
        <v>2185</v>
      </c>
      <c r="M58" s="1757"/>
      <c r="N58" s="2489" t="str">
        <f ca="1">NUMBERSTRING(INT(N57*10000),2)&amp;"元整"</f>
        <v>叁亿壹仟壹佰伍拾万元整</v>
      </c>
      <c r="O58" s="2490"/>
    </row>
    <row r="59" spans="1:35" ht="24.75" thickBot="1">
      <c r="A59" s="3156" t="s">
        <v>2186</v>
      </c>
      <c r="B59" s="3157"/>
      <c r="C59" s="315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54">
        <f>J57+1</f>
        <v>5</v>
      </c>
      <c r="K59" s="3153" t="s">
        <v>2188</v>
      </c>
      <c r="L59" s="1808" t="s">
        <v>2182</v>
      </c>
      <c r="M59" s="1758"/>
      <c r="N59" s="1759">
        <f ca="1">M49-N57</f>
        <v>23836</v>
      </c>
      <c r="O59" s="2492"/>
    </row>
    <row r="60" spans="1:35" ht="12" customHeight="1">
      <c r="A60" s="2493"/>
      <c r="B60" s="2415"/>
      <c r="C60" s="2415"/>
      <c r="D60" s="2415"/>
      <c r="E60" s="2164"/>
      <c r="F60" s="2486"/>
      <c r="G60" s="2486"/>
      <c r="H60" s="2494"/>
      <c r="I60" s="138"/>
      <c r="J60" s="3155"/>
      <c r="K60" s="3153"/>
      <c r="L60" s="2487" t="s">
        <v>2185</v>
      </c>
      <c r="M60" s="1757"/>
      <c r="N60" s="2489" t="str">
        <f ca="1">NUMBERSTRING(INT(N59*10000),2)&amp;"元整"</f>
        <v>贰亿叁仟捌佰叁拾陆万元整</v>
      </c>
      <c r="O60" s="2490"/>
    </row>
    <row r="61" spans="1:35" ht="13.5" thickBot="1">
      <c r="A61" s="3100" t="s">
        <v>2189</v>
      </c>
      <c r="B61" s="3100"/>
      <c r="C61" s="3100"/>
      <c r="D61" s="3100"/>
      <c r="E61" s="3100"/>
      <c r="F61" s="2486"/>
      <c r="G61" s="2486"/>
      <c r="H61" s="2494"/>
      <c r="I61" s="138"/>
      <c r="J61" s="1808">
        <f>J59+1</f>
        <v>6</v>
      </c>
      <c r="K61" s="3153" t="s">
        <v>2190</v>
      </c>
      <c r="L61" s="3153"/>
      <c r="M61" s="1760"/>
      <c r="N61" s="1761">
        <f ca="1">ROUND(N59*10000/'数据-汇总表'!E3,0)</f>
        <v>1502</v>
      </c>
      <c r="O61" s="2495"/>
    </row>
    <row r="62" spans="1:35" ht="12.75">
      <c r="A62" s="3116" t="s">
        <v>2191</v>
      </c>
      <c r="B62" s="3117"/>
      <c r="C62" s="1800"/>
      <c r="D62" s="1800" t="s">
        <v>2192</v>
      </c>
      <c r="E62" s="192" t="s">
        <v>2193</v>
      </c>
      <c r="F62" s="2486"/>
      <c r="G62" s="2486"/>
      <c r="H62" s="2494"/>
      <c r="I62" s="138"/>
    </row>
    <row r="63" spans="1:35" ht="12.75">
      <c r="A63" s="203" t="s">
        <v>774</v>
      </c>
      <c r="B63" s="193" t="s">
        <v>2194</v>
      </c>
      <c r="C63" s="194">
        <f ca="1">ROUND((C64+C65)/(1+'数据-取费表'!C42),0)</f>
        <v>52368</v>
      </c>
      <c r="D63" s="195"/>
      <c r="E63" s="196"/>
      <c r="F63" s="2486"/>
      <c r="G63" s="2486"/>
      <c r="H63" s="2494"/>
      <c r="I63" s="138"/>
      <c r="J63" s="3178" t="s">
        <v>2195</v>
      </c>
      <c r="K63" s="2496" t="s">
        <v>2196</v>
      </c>
      <c r="L63" s="1748">
        <f ca="1">IF(M49&gt;10000,M49*0.5%,IF(AND(M49&gt;1000,M49&lt;=10000),M49*1%,IF(AND(M49&gt;100,M49&lt;=1000),M49*3%,IF(AND(M49&gt;10,M49&lt;=100),M49*5%,M49*8%))))</f>
        <v>274.93</v>
      </c>
      <c r="M63" s="24">
        <f ca="1">ROUND(L63,1)</f>
        <v>274.89999999999998</v>
      </c>
      <c r="Z63" s="2420"/>
      <c r="AI63" s="2421"/>
    </row>
    <row r="64" spans="1:35" ht="14.25" customHeight="1">
      <c r="A64" s="197" t="s">
        <v>769</v>
      </c>
      <c r="B64" s="198" t="s">
        <v>2197</v>
      </c>
      <c r="C64" s="199">
        <f ca="1">D45</f>
        <v>54986</v>
      </c>
      <c r="D64" s="200" t="s">
        <v>32</v>
      </c>
      <c r="E64" s="201"/>
      <c r="F64" s="2486"/>
      <c r="G64" s="2486"/>
      <c r="H64" s="2494"/>
      <c r="I64" s="138"/>
      <c r="J64" s="3178"/>
      <c r="K64" s="2496" t="s">
        <v>2198</v>
      </c>
      <c r="L64" s="1748">
        <f ca="1">IF(M49&gt;2000,M49*0.5%,IF(AND(M49&gt;1000,M49&lt;=2000),M49*0.6%,IF(AND(M49&gt;500,M49&lt;=1000),M49*0.7%,IF(AND(M49&gt;200,M49&lt;=500),M49*0.8%,IF(AND(M49&gt;100,M49&lt;=200),M49*0.9%,IF(AND(M49&gt;50,M49&lt;=100),M49*1%,IF(AND(M49&gt;20,M49&lt;=50),M49*1.5%,IF(AND(M49&gt;10,M49&lt;=20),M49*2%,IF(AND(M49&gt;1,M49&lt;=10),M49*2.5%)))))))))</f>
        <v>274.93</v>
      </c>
      <c r="M64" s="24">
        <f t="shared" ref="M64:M65" ca="1" si="1">ROUND(L64,1)</f>
        <v>274.89999999999998</v>
      </c>
      <c r="N64" s="138" t="s">
        <v>2199</v>
      </c>
      <c r="Z64" s="2420"/>
      <c r="AI64" s="2421"/>
    </row>
    <row r="65" spans="1:35" ht="14.25" customHeight="1">
      <c r="A65" s="197" t="s">
        <v>770</v>
      </c>
      <c r="B65" s="198" t="s">
        <v>2200</v>
      </c>
      <c r="C65" s="202"/>
      <c r="D65" s="200"/>
      <c r="E65" s="201"/>
      <c r="F65" s="2486"/>
      <c r="G65" s="2486"/>
      <c r="H65" s="2494"/>
      <c r="I65" s="138"/>
      <c r="J65" s="3178"/>
      <c r="K65" s="2496" t="s">
        <v>2201</v>
      </c>
      <c r="L65" s="1748">
        <f ca="1">IF(M49&gt;1000,M49*0.1%,IF(AND(M49&gt;500,M49&lt;=1000),M49*0.5%,IF(AND(M49&gt;50,M49&lt;=500),M49*1%,IF(AND(M49&gt;1,M49&lt;=50),M49*1.5%))))</f>
        <v>54.986000000000004</v>
      </c>
      <c r="M65" s="24">
        <f t="shared" ca="1" si="1"/>
        <v>55</v>
      </c>
      <c r="N65" s="138" t="s">
        <v>2199</v>
      </c>
      <c r="Z65" s="2420"/>
      <c r="AI65" s="2421"/>
    </row>
    <row r="66" spans="1:35" ht="14.25" customHeight="1">
      <c r="A66" s="203" t="s">
        <v>771</v>
      </c>
      <c r="B66" s="204" t="s">
        <v>2202</v>
      </c>
      <c r="C66" s="205"/>
      <c r="D66" s="206" t="s">
        <v>32</v>
      </c>
      <c r="E66" s="1772" t="s">
        <v>1363</v>
      </c>
      <c r="F66" s="2486"/>
      <c r="G66" s="2486"/>
      <c r="H66" s="2494"/>
      <c r="I66" s="138"/>
      <c r="J66" s="3178"/>
      <c r="K66" s="2496" t="s">
        <v>2203</v>
      </c>
      <c r="L66" s="1748">
        <f ca="1">M49*0.5%</f>
        <v>274.93</v>
      </c>
      <c r="M66" s="24">
        <f ca="1">IF(L66&gt;0.5,0.5,ROUND(L66,0))</f>
        <v>0.5</v>
      </c>
      <c r="N66" s="138" t="s">
        <v>2204</v>
      </c>
      <c r="Z66" s="2420"/>
      <c r="AI66" s="2421"/>
    </row>
    <row r="67" spans="1:35" ht="14.25" customHeight="1">
      <c r="A67" s="203" t="s">
        <v>772</v>
      </c>
      <c r="B67" s="204" t="s">
        <v>2205</v>
      </c>
      <c r="C67" s="207">
        <f ca="1">C63-C66</f>
        <v>52368</v>
      </c>
      <c r="D67" s="200" t="s">
        <v>32</v>
      </c>
      <c r="E67" s="201"/>
      <c r="F67" s="2486"/>
      <c r="G67" s="2486"/>
      <c r="H67" s="2494"/>
      <c r="I67" s="138"/>
      <c r="J67" s="3178"/>
      <c r="K67" s="2496" t="s">
        <v>2206</v>
      </c>
      <c r="L67" s="1748">
        <f ca="1">IF(M49&gt;=10000,(8.25+(M49-10000)*0.01%),IF(AND(M49&gt;=8000,M49&lt;10000),(7.85+(M49-8000)*0.02%),IF(AND(M49&gt;=5000,M49&lt;8000),(6.65+(M49-5000)*0.04%),IF(AND(M49&gt;=2000,M49&lt;5000),(4.25+(PM49-2000)*0.08%),IF(AND(M49&gt;=1000,M49&lt;2000),(2.75+(M49-1000)*0.15%),IF(AND(M49&gt;=100,M49&lt;1000),(0.5+(M49-100)*0.25%),IF(AND(M49&gt;0,M49&lt;100),M49*0.5%)))))))</f>
        <v>12.7486</v>
      </c>
      <c r="M67" s="24">
        <f ca="1">ROUND(L67*0.9,1)</f>
        <v>11.5</v>
      </c>
      <c r="Z67" s="2420"/>
      <c r="AI67" s="2421"/>
    </row>
    <row r="68" spans="1:35" ht="14.25" customHeight="1" thickBot="1">
      <c r="A68" s="208" t="s">
        <v>773</v>
      </c>
      <c r="B68" s="209" t="s">
        <v>2207</v>
      </c>
      <c r="C68" s="210">
        <f ca="1">IF(C67&lt;=0,0,ROUND(C67*D68,0))</f>
        <v>2933</v>
      </c>
      <c r="D68" s="211">
        <f>'数据-取费表'!B41</f>
        <v>5.6000000000000001E-2</v>
      </c>
      <c r="E68" s="212"/>
      <c r="F68" s="2486"/>
      <c r="G68" s="2486"/>
      <c r="H68" s="2494"/>
      <c r="I68" s="138"/>
      <c r="J68" s="3178"/>
      <c r="K68" s="2496" t="s">
        <v>2208</v>
      </c>
      <c r="L68" s="1748">
        <f ca="1">IF(M49&gt;10000,M49*0.5%,IF(AND(M49&gt;5000,M49&lt;=10000),M49*1%,IF(AND(M49&gt;1000,M49&lt;=5000),M49*2%,IF(AND(M49&gt;200,M49&lt;=1000),M49*3%,M49*5%))))</f>
        <v>274.93</v>
      </c>
      <c r="M68" s="24">
        <f ca="1">ROUND(L68,1)</f>
        <v>274.89999999999998</v>
      </c>
      <c r="Z68" s="2420"/>
      <c r="AI68" s="2421"/>
    </row>
    <row r="69" spans="1:35" s="2443" customFormat="1" ht="16.5" customHeight="1">
      <c r="A69" s="2497"/>
      <c r="B69" s="2498"/>
      <c r="C69" s="2499"/>
      <c r="D69" s="2500"/>
      <c r="E69" s="2501"/>
      <c r="F69" s="2164"/>
      <c r="G69" s="2164"/>
      <c r="H69" s="2163"/>
      <c r="I69" s="2415"/>
      <c r="J69" s="3178"/>
      <c r="K69" s="2496" t="s">
        <v>2209</v>
      </c>
      <c r="L69" s="2502"/>
      <c r="M69" s="24">
        <f ca="1">ROUND(SUM(M63:M68),0)</f>
        <v>892</v>
      </c>
      <c r="N69" s="1749">
        <f ca="1">M69/M49</f>
        <v>1.6222311133743134E-2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7" t="s">
        <v>2210</v>
      </c>
      <c r="B70" s="3138"/>
      <c r="C70" s="3138"/>
      <c r="D70" s="3138"/>
      <c r="E70" s="3138"/>
      <c r="F70" s="3138"/>
      <c r="G70" s="3138"/>
      <c r="H70" s="313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2191</v>
      </c>
      <c r="B71" s="3117"/>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52368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314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1" t="s">
        <v>2219</v>
      </c>
      <c r="F76" s="3088"/>
      <c r="G76" s="3088"/>
      <c r="H76" s="313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314</v>
      </c>
      <c r="D78" s="226">
        <f>'数据-取费表'!B43</f>
        <v>6.000000000000001E-3</v>
      </c>
      <c r="E78" s="3097" t="s">
        <v>2224</v>
      </c>
      <c r="F78" s="3098"/>
      <c r="G78" s="3098"/>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52054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165.77707006369425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31123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7" t="s">
        <v>2228</v>
      </c>
      <c r="B83" s="3138"/>
      <c r="C83" s="3138"/>
      <c r="D83" s="3138"/>
      <c r="E83" s="3138"/>
      <c r="F83" s="3138"/>
      <c r="G83" s="3138"/>
      <c r="H83" s="313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2191</v>
      </c>
      <c r="B84" s="3117"/>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52368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314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7" t="s">
        <v>2237</v>
      </c>
      <c r="F91" s="3098"/>
      <c r="G91" s="309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7" t="s">
        <v>2241</v>
      </c>
      <c r="F92" s="3098"/>
      <c r="G92" s="3098"/>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314</v>
      </c>
      <c r="D93" s="226">
        <f>'数据-取费表'!B43</f>
        <v>6.000000000000001E-3</v>
      </c>
      <c r="E93" s="3097" t="s">
        <v>2224</v>
      </c>
      <c r="F93" s="3098"/>
      <c r="G93" s="3098"/>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8" t="s">
        <v>2245</v>
      </c>
      <c r="F94" s="3109"/>
      <c r="G94" s="3109"/>
      <c r="H94" s="31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52054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165.77707006369425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31123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099"/>
      <c r="E100" s="3083" t="s">
        <v>2248</v>
      </c>
      <c r="F100" s="3083"/>
      <c r="G100" s="3083"/>
      <c r="H100" s="3099"/>
      <c r="I100" s="138"/>
    </row>
    <row r="101" spans="1:35" ht="18.75" customHeight="1">
      <c r="A101" s="3161" t="s">
        <v>2249</v>
      </c>
      <c r="B101" s="3162"/>
      <c r="C101" s="736" t="str">
        <f>C4</f>
        <v>成本法</v>
      </c>
      <c r="D101" s="737" t="str">
        <f>D4</f>
        <v>假设开发法</v>
      </c>
      <c r="E101" s="3175" t="s">
        <v>2250</v>
      </c>
      <c r="F101" s="3129"/>
      <c r="G101" s="2517" t="s">
        <v>2251</v>
      </c>
      <c r="H101" s="1045">
        <f ca="1">H118</f>
        <v>54986</v>
      </c>
      <c r="I101" s="138"/>
    </row>
    <row r="102" spans="1:35" ht="18.75" customHeight="1">
      <c r="A102" s="3131" t="s">
        <v>2252</v>
      </c>
      <c r="B102" s="2517" t="s">
        <v>2251</v>
      </c>
      <c r="C102" s="736">
        <f ca="1">C19</f>
        <v>40903</v>
      </c>
      <c r="D102" s="737">
        <f ca="1">D19</f>
        <v>64374</v>
      </c>
      <c r="E102" s="3175"/>
      <c r="F102" s="3129"/>
      <c r="G102" s="2517" t="s">
        <v>2253</v>
      </c>
      <c r="H102" s="371">
        <f ca="1">I118</f>
        <v>3466</v>
      </c>
      <c r="I102" s="138"/>
    </row>
    <row r="103" spans="1:35" ht="42.75" customHeight="1">
      <c r="A103" s="3131"/>
      <c r="B103" s="2517" t="s">
        <v>2253</v>
      </c>
      <c r="C103" s="738">
        <f ca="1">C20</f>
        <v>2578</v>
      </c>
      <c r="D103" s="739">
        <f ca="1">D20</f>
        <v>4057</v>
      </c>
      <c r="E103" s="3170" t="s">
        <v>2254</v>
      </c>
      <c r="F103" s="3171"/>
      <c r="G103" s="2518" t="s">
        <v>2255</v>
      </c>
      <c r="H103" s="1045">
        <f>IF(D36="正常操作",H104+H105+H106,H105+H106)</f>
        <v>0</v>
      </c>
      <c r="I103" s="138"/>
    </row>
    <row r="104" spans="1:35" ht="18.75" customHeight="1">
      <c r="A104" s="3131" t="s">
        <v>2256</v>
      </c>
      <c r="B104" s="2519" t="s">
        <v>2251</v>
      </c>
      <c r="C104" s="740">
        <f ca="1">H118</f>
        <v>54986</v>
      </c>
      <c r="D104" s="741"/>
      <c r="E104" s="2265" t="s">
        <v>2257</v>
      </c>
      <c r="F104" s="2256"/>
      <c r="G104" s="2518" t="s">
        <v>2255</v>
      </c>
      <c r="H104" s="1046">
        <f>IF(D36="同一抵押权人同一抵押物续贷",C36&amp;"（未扣减，详见特别提示）",C36)</f>
        <v>0</v>
      </c>
      <c r="I104" s="138"/>
    </row>
    <row r="105" spans="1:35" ht="18.75" customHeight="1" thickBot="1">
      <c r="A105" s="3132"/>
      <c r="B105" s="2520" t="s">
        <v>2253</v>
      </c>
      <c r="C105" s="742">
        <f ca="1">I118</f>
        <v>3466</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8" t="str">
        <f>IF(项目基本情况!E8="已注销","——","3.房地产抵押价值")</f>
        <v>3.房地产抵押价值</v>
      </c>
      <c r="F107" s="3129"/>
      <c r="G107" s="2517" t="s">
        <v>2251</v>
      </c>
      <c r="H107" s="1045">
        <f ca="1">IF(E107="——","——",H101-H103)</f>
        <v>54986</v>
      </c>
      <c r="I107" s="138"/>
    </row>
    <row r="108" spans="1:35" ht="18.75" customHeight="1">
      <c r="A108" s="138"/>
      <c r="B108" s="138"/>
      <c r="C108" s="138"/>
      <c r="D108" s="138"/>
      <c r="E108" s="3128"/>
      <c r="F108" s="3129"/>
      <c r="G108" s="2517" t="s">
        <v>2253</v>
      </c>
      <c r="H108" s="371">
        <f ca="1">ROUND(H107*10000/'数据-汇总表'!E3,0)</f>
        <v>3466</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7" t="s">
        <v>2251</v>
      </c>
      <c r="H109" s="348" t="str">
        <f>IF(E109="——","——",H101-H105-H106)</f>
        <v>——</v>
      </c>
      <c r="I109" s="138"/>
    </row>
    <row r="110" spans="1:35" ht="18.75" customHeight="1">
      <c r="A110" s="138"/>
      <c r="B110" s="138"/>
      <c r="C110" s="138"/>
      <c r="D110" s="138"/>
      <c r="E110" s="3128"/>
      <c r="F110" s="3129"/>
      <c r="G110" s="2517" t="s">
        <v>2253</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2251</v>
      </c>
      <c r="H111" s="1045" t="str">
        <f>IF(E111="——","——",N59)</f>
        <v>——</v>
      </c>
      <c r="I111" s="138"/>
    </row>
    <row r="112" spans="1:35" ht="18.75" customHeight="1" thickBot="1">
      <c r="A112" s="138"/>
      <c r="B112" s="138"/>
      <c r="C112" s="138"/>
      <c r="D112" s="138"/>
      <c r="E112" s="3165"/>
      <c r="F112" s="3166"/>
      <c r="G112" s="2522" t="s">
        <v>2253</v>
      </c>
      <c r="H112" s="790" t="str">
        <f>IF(E111="——","——",N61)</f>
        <v>——</v>
      </c>
      <c r="I112" s="138"/>
    </row>
    <row r="113" spans="1:11" ht="18.75" customHeight="1">
      <c r="A113" s="138"/>
      <c r="B113" s="138"/>
      <c r="C113" s="138"/>
      <c r="D113" s="138"/>
      <c r="E113" s="3133" t="s">
        <v>2259</v>
      </c>
      <c r="F113" s="3133"/>
      <c r="G113" s="3133"/>
      <c r="H113" s="3133"/>
      <c r="I113" s="138"/>
    </row>
    <row r="114" spans="1:11" ht="3.75" customHeight="1">
      <c r="A114" s="2415"/>
      <c r="B114" s="2415"/>
      <c r="C114" s="2415"/>
      <c r="D114" s="2415"/>
      <c r="E114" s="2493"/>
      <c r="F114" s="2493"/>
      <c r="G114" s="2493"/>
      <c r="H114" s="2493"/>
      <c r="I114" s="2415"/>
    </row>
    <row r="115" spans="1:11" ht="18.75" customHeight="1">
      <c r="A115" s="3146" t="s">
        <v>2261</v>
      </c>
      <c r="B115" s="3147"/>
      <c r="C115" s="3147"/>
      <c r="D115" s="3147"/>
      <c r="E115" s="3147"/>
      <c r="F115" s="3147"/>
      <c r="G115" s="3147"/>
      <c r="H115" s="3147"/>
      <c r="I115" s="3148"/>
    </row>
    <row r="116" spans="1:11" ht="27" customHeight="1">
      <c r="A116" s="3039" t="s">
        <v>2262</v>
      </c>
      <c r="B116" s="3134" t="s">
        <v>3368</v>
      </c>
      <c r="C116" s="3134" t="s">
        <v>2263</v>
      </c>
      <c r="D116" s="3150" t="s">
        <v>2264</v>
      </c>
      <c r="E116" s="3151"/>
      <c r="F116" s="3142" t="s">
        <v>2265</v>
      </c>
      <c r="G116" s="3142"/>
      <c r="H116" s="3039" t="s">
        <v>2266</v>
      </c>
      <c r="I116" s="3039"/>
    </row>
    <row r="117" spans="1:11" ht="18.75" customHeight="1">
      <c r="A117" s="3039"/>
      <c r="B117" s="3135"/>
      <c r="C117" s="313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39040</v>
      </c>
      <c r="E118" s="1794">
        <f ca="1">ROUND(IF(C33="自定义",IF(D32="楼面单价",C34,D118*10000/B118),I118-G118),0)</f>
        <v>2461</v>
      </c>
      <c r="F118" s="1794">
        <f ca="1">ROUND(IF(D32="总价",C35,G118*B118/10000),0)</f>
        <v>15946</v>
      </c>
      <c r="G118" s="1794">
        <f ca="1">ROUND(IF(D32="楼面单价",C35,F118*10000/B118),0)</f>
        <v>1005</v>
      </c>
      <c r="H118" s="1794">
        <f ca="1">ROUND(IF(D32="总价",C32,I118*B118/10000),0)</f>
        <v>54986</v>
      </c>
      <c r="I118" s="1794">
        <f ca="1">ROUND(IF(D32="楼面单价",C32,H118*10000/B118),0)</f>
        <v>3466</v>
      </c>
    </row>
    <row r="119" spans="1:11" ht="18.75" customHeight="1">
      <c r="A119" s="3039" t="s">
        <v>2270</v>
      </c>
      <c r="B119" s="3039"/>
      <c r="C119" s="3039"/>
      <c r="D119" s="3139" t="str">
        <f ca="1">NUMBERSTRING(INT(D118*10000),2)&amp;"元整"</f>
        <v>叁亿玖仟零肆拾万元整</v>
      </c>
      <c r="E119" s="3141"/>
      <c r="F119" s="3139" t="str">
        <f ca="1">NUMBERSTRING(INT(F118*10000),2)&amp;"元整"</f>
        <v>壹亿伍仟玖佰肆拾陆万元整</v>
      </c>
      <c r="G119" s="3141"/>
      <c r="H119" s="3139" t="str">
        <f ca="1">NUMBERSTRING(INT(H118*10000),2)&amp;"元整"</f>
        <v>伍亿肆仟玖佰捌拾陆万元整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143" t="s">
        <v>2270</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54986</v>
      </c>
      <c r="E122" s="3168"/>
      <c r="F122" s="3168"/>
      <c r="G122" s="3168"/>
      <c r="H122" s="3168"/>
      <c r="I122" s="3169"/>
    </row>
    <row r="123" spans="1:11" ht="18.75" customHeight="1">
      <c r="A123" s="3039" t="s">
        <v>2270</v>
      </c>
      <c r="B123" s="3039"/>
      <c r="C123" s="3039"/>
      <c r="D123" s="3139" t="str">
        <f ca="1">NUMBERSTRING(INT(D122*10000),2)&amp;"元整"</f>
        <v>伍亿肆仟玖佰捌拾陆万元整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2270</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2270</v>
      </c>
      <c r="B127" s="3039"/>
      <c r="C127" s="3039"/>
      <c r="D127" s="3139" t="e">
        <f>NUMBERSTRING(INT(D126*10000),2)&amp;"元整"</f>
        <v>#VALUE!</v>
      </c>
      <c r="E127" s="3140"/>
      <c r="F127" s="3140"/>
      <c r="G127" s="3140"/>
      <c r="H127" s="3140"/>
      <c r="I127" s="3141"/>
    </row>
    <row r="128" spans="1:11" ht="21.75" customHeight="1">
      <c r="A128" s="3149" t="s">
        <v>2271</v>
      </c>
      <c r="B128" s="3149"/>
      <c r="C128" s="3149"/>
      <c r="D128" s="3149"/>
      <c r="E128" s="3149"/>
      <c r="F128" s="3149"/>
      <c r="G128" s="3149"/>
      <c r="H128" s="3149"/>
      <c r="I128" s="314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30" ht="15">
      <c r="A5" s="404"/>
      <c r="B5" s="405"/>
      <c r="C5" s="3220" t="str">
        <f>项目基本情况!F10</f>
        <v>槐荫区西客站片区淮坊路东侧、威海路北侧D-1一期</v>
      </c>
      <c r="D5" s="3216"/>
      <c r="E5" s="3223" t="str">
        <f>土地案例!B8</f>
        <v>西客站片区会展中心西侧地块B-2</v>
      </c>
      <c r="F5" s="3224"/>
      <c r="G5" s="3215" t="str">
        <f>土地案例!B9</f>
        <v>槐荫区西客站片区,威海路以南,滨洲路以西</v>
      </c>
      <c r="H5" s="3216"/>
      <c r="I5" s="3215" t="str">
        <f>土地案例!B12</f>
        <v>东至齐鲁大道,北至横支10号路,西至纵支2号路,南至用地边界</v>
      </c>
      <c r="J5" s="3216"/>
      <c r="K5" s="610"/>
      <c r="L5" s="1130"/>
      <c r="M5" s="1131"/>
      <c r="N5" s="1131"/>
      <c r="O5" s="1131"/>
      <c r="P5" s="3203"/>
      <c r="Q5" s="3204"/>
      <c r="R5" s="3209"/>
      <c r="S5" s="3210"/>
      <c r="T5" s="3209"/>
      <c r="U5" s="3210"/>
      <c r="V5" s="3194"/>
      <c r="W5" s="3194"/>
      <c r="X5" s="1812"/>
      <c r="Y5" s="3209"/>
      <c r="Z5" s="3210"/>
      <c r="AA5" s="3196"/>
      <c r="AB5" s="3196"/>
      <c r="AC5" s="3196"/>
    </row>
    <row r="6" spans="1:30"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217" t="s">
        <v>2499</v>
      </c>
      <c r="Q7" s="3219"/>
      <c r="R7" s="770" t="s">
        <v>17</v>
      </c>
      <c r="S7" s="771">
        <f t="shared" ref="S7:S15" si="0">F7</f>
        <v>99</v>
      </c>
      <c r="T7" s="770" t="s">
        <v>17</v>
      </c>
      <c r="U7" s="771">
        <f t="shared" ref="U7:U15" si="1">H7</f>
        <v>99</v>
      </c>
      <c r="V7" s="770" t="s">
        <v>17</v>
      </c>
      <c r="W7" s="771">
        <f t="shared" ref="W7:W15" si="2">J7</f>
        <v>96.5</v>
      </c>
      <c r="X7" s="772"/>
      <c r="Y7" s="3217" t="s">
        <v>2499</v>
      </c>
      <c r="Z7" s="3218"/>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7" t="s">
        <v>2502</v>
      </c>
      <c r="Q8" s="3218"/>
      <c r="R8" s="770" t="s">
        <v>17</v>
      </c>
      <c r="S8" s="771">
        <f t="shared" si="0"/>
        <v>100</v>
      </c>
      <c r="T8" s="770" t="s">
        <v>17</v>
      </c>
      <c r="U8" s="771">
        <f t="shared" si="1"/>
        <v>100</v>
      </c>
      <c r="V8" s="770" t="s">
        <v>17</v>
      </c>
      <c r="W8" s="771">
        <f t="shared" si="2"/>
        <v>100</v>
      </c>
      <c r="X8" s="772"/>
      <c r="Y8" s="3217" t="s">
        <v>2502</v>
      </c>
      <c r="Z8" s="3218"/>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88"/>
      <c r="Q11" s="1794" t="str">
        <f t="shared" si="6"/>
        <v>容积率</v>
      </c>
      <c r="R11" s="770" t="s">
        <v>17</v>
      </c>
      <c r="S11" s="771">
        <f t="shared" si="0"/>
        <v>100</v>
      </c>
      <c r="T11" s="770" t="s">
        <v>17</v>
      </c>
      <c r="U11" s="771">
        <f t="shared" si="1"/>
        <v>100</v>
      </c>
      <c r="V11" s="770" t="s">
        <v>17</v>
      </c>
      <c r="W11" s="771">
        <f t="shared" si="2"/>
        <v>107</v>
      </c>
      <c r="X11" s="772"/>
      <c r="Y11" s="3039"/>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94">
        <f t="shared" si="6"/>
        <v>0</v>
      </c>
      <c r="R12" s="770" t="s">
        <v>17</v>
      </c>
      <c r="S12" s="771">
        <f t="shared" si="0"/>
        <v>100</v>
      </c>
      <c r="T12" s="770" t="s">
        <v>17</v>
      </c>
      <c r="U12" s="771">
        <f t="shared" si="1"/>
        <v>100</v>
      </c>
      <c r="V12" s="770" t="s">
        <v>17</v>
      </c>
      <c r="W12" s="771">
        <f t="shared" si="2"/>
        <v>100</v>
      </c>
      <c r="X12" s="772"/>
      <c r="Y12" s="3039"/>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94">
        <f t="shared" si="6"/>
        <v>0</v>
      </c>
      <c r="R13" s="770" t="s">
        <v>17</v>
      </c>
      <c r="S13" s="771">
        <f t="shared" si="0"/>
        <v>100</v>
      </c>
      <c r="T13" s="770" t="s">
        <v>17</v>
      </c>
      <c r="U13" s="771">
        <f t="shared" si="1"/>
        <v>100</v>
      </c>
      <c r="V13" s="770" t="s">
        <v>17</v>
      </c>
      <c r="W13" s="771">
        <f t="shared" si="2"/>
        <v>100</v>
      </c>
      <c r="X13" s="772"/>
      <c r="Y13" s="3039"/>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94">
        <f t="shared" si="6"/>
        <v>0</v>
      </c>
      <c r="R14" s="770" t="s">
        <v>17</v>
      </c>
      <c r="S14" s="771">
        <f t="shared" si="0"/>
        <v>100</v>
      </c>
      <c r="T14" s="770" t="s">
        <v>17</v>
      </c>
      <c r="U14" s="771">
        <f t="shared" si="1"/>
        <v>100</v>
      </c>
      <c r="V14" s="770" t="s">
        <v>17</v>
      </c>
      <c r="W14" s="771">
        <f t="shared" si="2"/>
        <v>100</v>
      </c>
      <c r="X14" s="772"/>
      <c r="Y14" s="3039"/>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190" t="s">
        <v>2510</v>
      </c>
      <c r="Q15" s="1809" t="str">
        <f t="shared" si="6"/>
        <v>居住社区成熟度</v>
      </c>
      <c r="R15" s="774" t="s">
        <v>17</v>
      </c>
      <c r="S15" s="775">
        <f t="shared" si="0"/>
        <v>100</v>
      </c>
      <c r="T15" s="774" t="s">
        <v>17</v>
      </c>
      <c r="U15" s="775">
        <f t="shared" si="1"/>
        <v>100</v>
      </c>
      <c r="V15" s="774" t="s">
        <v>17</v>
      </c>
      <c r="W15" s="775">
        <f t="shared" si="2"/>
        <v>100</v>
      </c>
      <c r="X15" s="1812"/>
      <c r="Y15" s="3190"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191"/>
      <c r="Q17" s="1809" t="str">
        <f>B17</f>
        <v>商业繁华度</v>
      </c>
      <c r="R17" s="774" t="s">
        <v>17</v>
      </c>
      <c r="S17" s="775">
        <f>F17</f>
        <v>100</v>
      </c>
      <c r="T17" s="774" t="s">
        <v>17</v>
      </c>
      <c r="U17" s="775">
        <f>H17</f>
        <v>100</v>
      </c>
      <c r="V17" s="774" t="s">
        <v>17</v>
      </c>
      <c r="W17" s="775">
        <f>J17</f>
        <v>100</v>
      </c>
      <c r="X17" s="1812"/>
      <c r="Y17" s="3191"/>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91"/>
      <c r="Q19" s="1809" t="str">
        <f>B19</f>
        <v>办公集聚程度</v>
      </c>
      <c r="R19" s="774" t="s">
        <v>17</v>
      </c>
      <c r="S19" s="775">
        <f>F19</f>
        <v>100</v>
      </c>
      <c r="T19" s="774" t="s">
        <v>17</v>
      </c>
      <c r="U19" s="775">
        <f>H19</f>
        <v>100</v>
      </c>
      <c r="V19" s="774" t="s">
        <v>17</v>
      </c>
      <c r="W19" s="775">
        <f>J19</f>
        <v>100</v>
      </c>
      <c r="X19" s="1812"/>
      <c r="Y19" s="3191"/>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191"/>
      <c r="Q20" s="1809"/>
      <c r="R20" s="774"/>
      <c r="S20" s="775"/>
      <c r="T20" s="774"/>
      <c r="U20" s="775"/>
      <c r="V20" s="774"/>
      <c r="W20" s="775"/>
      <c r="X20" s="1812"/>
      <c r="Y20" s="3191"/>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191"/>
      <c r="Q21" s="1809" t="str">
        <f>B21</f>
        <v>交通便捷度</v>
      </c>
      <c r="R21" s="774" t="s">
        <v>17</v>
      </c>
      <c r="S21" s="775">
        <f>F21</f>
        <v>100</v>
      </c>
      <c r="T21" s="774" t="s">
        <v>17</v>
      </c>
      <c r="U21" s="775">
        <f>H21</f>
        <v>100</v>
      </c>
      <c r="V21" s="774" t="s">
        <v>17</v>
      </c>
      <c r="W21" s="775">
        <f>J21</f>
        <v>100</v>
      </c>
      <c r="X21" s="1812"/>
      <c r="Y21" s="3191"/>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191"/>
      <c r="Q23" s="1809" t="str">
        <f t="shared" ref="Q23:Q37" si="8">B23</f>
        <v>区域土地利用方向</v>
      </c>
      <c r="R23" s="774" t="s">
        <v>17</v>
      </c>
      <c r="S23" s="775">
        <f>F23</f>
        <v>100</v>
      </c>
      <c r="T23" s="774" t="s">
        <v>17</v>
      </c>
      <c r="U23" s="775">
        <f>H23</f>
        <v>100</v>
      </c>
      <c r="V23" s="774" t="s">
        <v>17</v>
      </c>
      <c r="W23" s="775">
        <f>J23</f>
        <v>100</v>
      </c>
      <c r="X23" s="1812"/>
      <c r="Y23" s="3191"/>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191"/>
      <c r="Q24" s="1809"/>
      <c r="R24" s="774"/>
      <c r="S24" s="775"/>
      <c r="T24" s="774"/>
      <c r="U24" s="775"/>
      <c r="V24" s="774"/>
      <c r="W24" s="775"/>
      <c r="X24" s="1812"/>
      <c r="Y24" s="3191"/>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191"/>
      <c r="Q25" s="1809" t="str">
        <f t="shared" si="8"/>
        <v>自然及人文环境状况</v>
      </c>
      <c r="R25" s="774" t="s">
        <v>17</v>
      </c>
      <c r="S25" s="775">
        <f>F25</f>
        <v>100</v>
      </c>
      <c r="T25" s="774" t="s">
        <v>17</v>
      </c>
      <c r="U25" s="775">
        <f>H25</f>
        <v>100</v>
      </c>
      <c r="V25" s="774" t="s">
        <v>17</v>
      </c>
      <c r="W25" s="775">
        <f>J25</f>
        <v>100</v>
      </c>
      <c r="X25" s="1812"/>
      <c r="Y25" s="3191"/>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191"/>
      <c r="Q26" s="1809"/>
      <c r="R26" s="774"/>
      <c r="S26" s="775"/>
      <c r="T26" s="774"/>
      <c r="U26" s="775"/>
      <c r="V26" s="774"/>
      <c r="W26" s="775"/>
      <c r="X26" s="1812"/>
      <c r="Y26" s="3191"/>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191"/>
      <c r="Q27" s="1794" t="str">
        <f t="shared" si="8"/>
        <v>公共配套设施</v>
      </c>
      <c r="R27" s="770" t="s">
        <v>17</v>
      </c>
      <c r="S27" s="771">
        <f>F27</f>
        <v>100</v>
      </c>
      <c r="T27" s="770" t="s">
        <v>17</v>
      </c>
      <c r="U27" s="771">
        <f>H27</f>
        <v>100</v>
      </c>
      <c r="V27" s="770" t="s">
        <v>17</v>
      </c>
      <c r="W27" s="771">
        <f>J27</f>
        <v>100</v>
      </c>
      <c r="X27" s="772"/>
      <c r="Y27" s="3191"/>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191"/>
      <c r="Q28" s="1794"/>
      <c r="R28" s="770"/>
      <c r="S28" s="771"/>
      <c r="T28" s="770"/>
      <c r="U28" s="771"/>
      <c r="V28" s="770"/>
      <c r="W28" s="771"/>
      <c r="X28" s="772"/>
      <c r="Y28" s="3191"/>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191"/>
      <c r="Q29" s="1794"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191"/>
      <c r="Q30" s="1794"/>
      <c r="R30" s="770"/>
      <c r="S30" s="771"/>
      <c r="T30" s="770"/>
      <c r="U30" s="771"/>
      <c r="V30" s="770"/>
      <c r="W30" s="771"/>
      <c r="X30" s="772"/>
      <c r="Y30" s="3191"/>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19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1"/>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191"/>
      <c r="Q32" s="1809" t="str">
        <f t="shared" si="8"/>
        <v>毗邻道路的类型与等级</v>
      </c>
      <c r="R32" s="774" t="s">
        <v>17</v>
      </c>
      <c r="S32" s="775">
        <f t="shared" si="10"/>
        <v>100</v>
      </c>
      <c r="T32" s="774" t="s">
        <v>17</v>
      </c>
      <c r="U32" s="775">
        <f t="shared" si="11"/>
        <v>100</v>
      </c>
      <c r="V32" s="774" t="s">
        <v>17</v>
      </c>
      <c r="W32" s="775">
        <f t="shared" si="12"/>
        <v>100</v>
      </c>
      <c r="X32" s="1812"/>
      <c r="Y32" s="3191"/>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191"/>
      <c r="Q33" s="1809"/>
      <c r="R33" s="774"/>
      <c r="S33" s="775"/>
      <c r="T33" s="774"/>
      <c r="U33" s="775"/>
      <c r="V33" s="774"/>
      <c r="W33" s="775"/>
      <c r="X33" s="1812"/>
      <c r="Y33" s="3191"/>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191"/>
      <c r="Q34" s="1809" t="str">
        <f t="shared" si="8"/>
        <v>土地级别</v>
      </c>
      <c r="R34" s="774" t="s">
        <v>17</v>
      </c>
      <c r="S34" s="775">
        <f t="shared" si="10"/>
        <v>100</v>
      </c>
      <c r="T34" s="774" t="s">
        <v>17</v>
      </c>
      <c r="U34" s="775">
        <f t="shared" si="11"/>
        <v>100</v>
      </c>
      <c r="V34" s="774" t="s">
        <v>17</v>
      </c>
      <c r="W34" s="775">
        <f t="shared" si="12"/>
        <v>100</v>
      </c>
      <c r="X34" s="1812"/>
      <c r="Y34" s="3191"/>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9">
        <f t="shared" si="8"/>
        <v>0</v>
      </c>
      <c r="R35" s="774" t="s">
        <v>17</v>
      </c>
      <c r="S35" s="775">
        <f t="shared" si="10"/>
        <v>100</v>
      </c>
      <c r="T35" s="774" t="s">
        <v>17</v>
      </c>
      <c r="U35" s="775">
        <f t="shared" si="11"/>
        <v>100</v>
      </c>
      <c r="V35" s="774" t="s">
        <v>17</v>
      </c>
      <c r="W35" s="775">
        <f t="shared" si="12"/>
        <v>100</v>
      </c>
      <c r="X35" s="1812"/>
      <c r="Y35" s="3191"/>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2" t="s">
        <v>2515</v>
      </c>
      <c r="Q36" s="1809">
        <f t="shared" si="8"/>
        <v>0</v>
      </c>
      <c r="R36" s="774" t="s">
        <v>17</v>
      </c>
      <c r="S36" s="775">
        <f t="shared" si="10"/>
        <v>100</v>
      </c>
      <c r="T36" s="774" t="s">
        <v>17</v>
      </c>
      <c r="U36" s="775">
        <f t="shared" si="11"/>
        <v>100</v>
      </c>
      <c r="V36" s="774" t="s">
        <v>17</v>
      </c>
      <c r="W36" s="775">
        <f t="shared" si="12"/>
        <v>100</v>
      </c>
      <c r="X36" s="1812"/>
      <c r="Y36" s="3193"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09">
        <f t="shared" si="8"/>
        <v>0</v>
      </c>
      <c r="R37" s="777" t="s">
        <v>17</v>
      </c>
      <c r="S37" s="778">
        <f t="shared" si="10"/>
        <v>100</v>
      </c>
      <c r="T37" s="777" t="s">
        <v>17</v>
      </c>
      <c r="U37" s="778">
        <f t="shared" si="11"/>
        <v>100</v>
      </c>
      <c r="V37" s="777" t="s">
        <v>17</v>
      </c>
      <c r="W37" s="778">
        <f t="shared" si="12"/>
        <v>100</v>
      </c>
      <c r="X37" s="779"/>
      <c r="Y37" s="3193"/>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93"/>
      <c r="Q38" s="1809" t="str">
        <f>B38</f>
        <v>宗地面积</v>
      </c>
      <c r="R38" s="774" t="s">
        <v>17</v>
      </c>
      <c r="S38" s="775">
        <f t="shared" si="10"/>
        <v>101</v>
      </c>
      <c r="T38" s="774" t="s">
        <v>17</v>
      </c>
      <c r="U38" s="775">
        <f t="shared" si="11"/>
        <v>101</v>
      </c>
      <c r="V38" s="774" t="s">
        <v>17</v>
      </c>
      <c r="W38" s="775">
        <f t="shared" si="12"/>
        <v>100</v>
      </c>
      <c r="X38" s="1812"/>
      <c r="Y38" s="3193"/>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193"/>
      <c r="Q39" s="1809" t="str">
        <f t="shared" ref="Q39:Q45" si="14">B39</f>
        <v>宗地形状</v>
      </c>
      <c r="R39" s="774" t="s">
        <v>17</v>
      </c>
      <c r="S39" s="775">
        <f t="shared" si="10"/>
        <v>100</v>
      </c>
      <c r="T39" s="774" t="s">
        <v>17</v>
      </c>
      <c r="U39" s="775">
        <f t="shared" si="11"/>
        <v>100</v>
      </c>
      <c r="V39" s="774" t="s">
        <v>17</v>
      </c>
      <c r="W39" s="775">
        <f t="shared" si="12"/>
        <v>100</v>
      </c>
      <c r="X39" s="1812"/>
      <c r="Y39" s="3193"/>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193"/>
      <c r="Q40" s="1809" t="str">
        <f t="shared" si="14"/>
        <v>临街宽度及深度</v>
      </c>
      <c r="R40" s="774" t="s">
        <v>17</v>
      </c>
      <c r="S40" s="775">
        <f t="shared" si="10"/>
        <v>100</v>
      </c>
      <c r="T40" s="774" t="s">
        <v>17</v>
      </c>
      <c r="U40" s="775">
        <f t="shared" si="11"/>
        <v>100</v>
      </c>
      <c r="V40" s="774" t="s">
        <v>17</v>
      </c>
      <c r="W40" s="775">
        <f t="shared" si="12"/>
        <v>100</v>
      </c>
      <c r="X40" s="1812"/>
      <c r="Y40" s="3193"/>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193"/>
      <c r="Q41" s="1809"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193" t="s">
        <v>2515</v>
      </c>
      <c r="Q42" s="1809" t="str">
        <f t="shared" si="14"/>
        <v>工程地质条件</v>
      </c>
      <c r="R42" s="774" t="s">
        <v>17</v>
      </c>
      <c r="S42" s="775">
        <f t="shared" si="10"/>
        <v>100</v>
      </c>
      <c r="T42" s="774" t="s">
        <v>17</v>
      </c>
      <c r="U42" s="775">
        <f t="shared" si="11"/>
        <v>100</v>
      </c>
      <c r="V42" s="774" t="s">
        <v>17</v>
      </c>
      <c r="W42" s="775">
        <f t="shared" si="12"/>
        <v>100</v>
      </c>
      <c r="X42" s="1812"/>
      <c r="Y42" s="3193"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09">
        <f t="shared" si="14"/>
        <v>0</v>
      </c>
      <c r="R43" s="774" t="s">
        <v>17</v>
      </c>
      <c r="S43" s="775">
        <f t="shared" si="10"/>
        <v>100</v>
      </c>
      <c r="T43" s="774" t="s">
        <v>17</v>
      </c>
      <c r="U43" s="775">
        <f t="shared" si="11"/>
        <v>100</v>
      </c>
      <c r="V43" s="774" t="s">
        <v>17</v>
      </c>
      <c r="W43" s="775">
        <f t="shared" si="12"/>
        <v>100</v>
      </c>
      <c r="X43" s="1812"/>
      <c r="Y43" s="3193"/>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09">
        <f t="shared" si="14"/>
        <v>0</v>
      </c>
      <c r="R44" s="774" t="s">
        <v>17</v>
      </c>
      <c r="S44" s="775">
        <f t="shared" si="10"/>
        <v>100</v>
      </c>
      <c r="T44" s="774" t="s">
        <v>17</v>
      </c>
      <c r="U44" s="775">
        <f t="shared" si="11"/>
        <v>100</v>
      </c>
      <c r="V44" s="774" t="s">
        <v>17</v>
      </c>
      <c r="W44" s="775">
        <f t="shared" si="12"/>
        <v>100</v>
      </c>
      <c r="X44" s="1812"/>
      <c r="Y44" s="3193"/>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09">
        <f t="shared" si="14"/>
        <v>0</v>
      </c>
      <c r="R45" s="777" t="s">
        <v>17</v>
      </c>
      <c r="S45" s="778">
        <f t="shared" si="10"/>
        <v>100</v>
      </c>
      <c r="T45" s="777" t="s">
        <v>17</v>
      </c>
      <c r="U45" s="778">
        <f t="shared" si="11"/>
        <v>100</v>
      </c>
      <c r="V45" s="777" t="s">
        <v>17</v>
      </c>
      <c r="W45" s="778">
        <f t="shared" si="12"/>
        <v>100</v>
      </c>
      <c r="X45" s="779"/>
      <c r="Y45" s="3193"/>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8" t="str">
        <f>A46</f>
        <v>成交单价</v>
      </c>
      <c r="Q46" s="3188"/>
      <c r="R46" s="3194">
        <f>E46</f>
        <v>1778</v>
      </c>
      <c r="S46" s="3194"/>
      <c r="T46" s="3194">
        <f>G46</f>
        <v>1773</v>
      </c>
      <c r="U46" s="3194"/>
      <c r="V46" s="3194">
        <f>I46</f>
        <v>2178</v>
      </c>
      <c r="W46" s="3194"/>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88" t="str">
        <f>A47</f>
        <v>比较价值（元/平方米）</v>
      </c>
      <c r="Q47" s="3188"/>
      <c r="R47" s="3181">
        <f>ROUND(PRODUCT(R46,AA7:AA45),0)</f>
        <v>1694</v>
      </c>
      <c r="S47" s="3181"/>
      <c r="T47" s="3181">
        <f>ROUND(PRODUCT(T46,AB7:AB45),0)</f>
        <v>1689</v>
      </c>
      <c r="U47" s="3181"/>
      <c r="V47" s="3181">
        <f>ROUND(PRODUCT(V46,AC7:AC45),0)</f>
        <v>2009</v>
      </c>
      <c r="W47" s="3181"/>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182" t="str">
        <f>A48</f>
        <v>估价对象地上用房的比较价值（楼面单价，元/平方米）</v>
      </c>
      <c r="Q48" s="3183"/>
      <c r="R48" s="3184">
        <f>ROUND(AVERAGE(R47:V47),0)</f>
        <v>1797</v>
      </c>
      <c r="S48" s="3184"/>
      <c r="T48" s="3184"/>
      <c r="U48" s="3184"/>
      <c r="V48" s="3184"/>
      <c r="W48" s="31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85" t="s">
        <v>2711</v>
      </c>
      <c r="H55" s="3186"/>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187"/>
      <c r="H56" s="3188"/>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89"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89"/>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89"/>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89"/>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9</v>
      </c>
    </row>
    <row r="2" spans="1:9" s="244" customFormat="1" ht="18" customHeight="1">
      <c r="A2" s="245" t="s">
        <v>2280</v>
      </c>
      <c r="B2" s="246">
        <f ca="1">IF(D2="——",C52,C52-E2)</f>
        <v>40903</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2578</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4.75">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8997</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8090</v>
      </c>
      <c r="D34" s="261"/>
      <c r="E34" s="264"/>
      <c r="F34" s="301">
        <f ca="1">IF('数据-取费表'!B24=0,1,IF(B1="",'数据-取费表'!N16,INDIRECT("'数据-取费表'!n"&amp;$G$1)))</f>
        <v>0.16</v>
      </c>
      <c r="G34" s="263" t="s">
        <v>2344</v>
      </c>
    </row>
    <row r="35" spans="1:7" ht="13.5" customHeight="1">
      <c r="A35" s="951" t="s">
        <v>795</v>
      </c>
      <c r="B35" s="259" t="s">
        <v>2345</v>
      </c>
      <c r="C35" s="264">
        <f ca="1">ROUND(C34*F35,0)</f>
        <v>405</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381</v>
      </c>
      <c r="D37" s="261">
        <f ca="1">D19</f>
        <v>158663.65</v>
      </c>
      <c r="E37" s="293">
        <f>'数据-取费表'!B35</f>
        <v>150</v>
      </c>
      <c r="F37" s="303"/>
      <c r="G37" s="305" t="s">
        <v>2350</v>
      </c>
    </row>
    <row r="38" spans="1:7" ht="13.5" customHeight="1">
      <c r="A38" s="951" t="s">
        <v>798</v>
      </c>
      <c r="B38" s="259" t="s">
        <v>2351</v>
      </c>
      <c r="C38" s="264">
        <f ca="1">ROUND(C34*F38,0)</f>
        <v>121</v>
      </c>
      <c r="D38" s="264"/>
      <c r="E38" s="264"/>
      <c r="F38" s="303">
        <f>'数据-取费表'!B36</f>
        <v>1.4999999999999999E-2</v>
      </c>
      <c r="G38" s="263" t="s">
        <v>2346</v>
      </c>
    </row>
    <row r="39" spans="1:7" s="258" customFormat="1" ht="13.5" customHeight="1">
      <c r="A39" s="299" t="s">
        <v>2352</v>
      </c>
      <c r="B39" s="254" t="s">
        <v>2353</v>
      </c>
      <c r="C39" s="276">
        <f ca="1">ROUND(C33*F20,0)</f>
        <v>90</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171</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169</v>
      </c>
      <c r="D42" s="282"/>
      <c r="E42" s="282"/>
      <c r="F42" s="283"/>
      <c r="G42" s="3225" t="s">
        <v>2362</v>
      </c>
    </row>
    <row r="43" spans="1:7" ht="13.5" customHeight="1">
      <c r="A43" s="951" t="s">
        <v>791</v>
      </c>
      <c r="B43" s="259" t="s">
        <v>2363</v>
      </c>
      <c r="C43" s="282">
        <f ca="1">ROUND(IF('数据-取费表'!B22&lt;=1,C39*F22*'数据-取费表'!B21/2,C39*(POWER((1+F22),'数据-取费表'!B21/2)-1)),0)</f>
        <v>2</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1817</v>
      </c>
      <c r="D45" s="279">
        <f ca="1">C47</f>
        <v>2E-3</v>
      </c>
      <c r="E45" s="280" t="s">
        <v>2357</v>
      </c>
      <c r="F45" s="290"/>
      <c r="G45" s="291" t="s">
        <v>2366</v>
      </c>
    </row>
    <row r="46" spans="1:7" s="258" customFormat="1" ht="13.5" customHeight="1">
      <c r="A46" s="951" t="s">
        <v>790</v>
      </c>
      <c r="B46" s="292" t="s">
        <v>2367</v>
      </c>
      <c r="C46" s="293">
        <f ca="1">ROUND((C33+C39)*F27,0)</f>
        <v>1817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11851</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11851</v>
      </c>
      <c r="D51" s="276"/>
      <c r="E51" s="276"/>
      <c r="F51" s="308"/>
      <c r="G51" s="278" t="s">
        <v>2378</v>
      </c>
    </row>
    <row r="52" spans="1:7" s="252" customFormat="1" ht="16.5" thickBot="1">
      <c r="A52" s="309" t="s">
        <v>2379</v>
      </c>
      <c r="B52" s="310"/>
      <c r="C52" s="311">
        <f ca="1">C31+C51</f>
        <v>40903</v>
      </c>
      <c r="D52" s="310"/>
      <c r="E52" s="310"/>
      <c r="F52" s="310"/>
      <c r="G52" s="312"/>
    </row>
    <row r="55" spans="1:7" ht="15">
      <c r="B55" s="314" t="s">
        <v>2380</v>
      </c>
      <c r="C55" s="315"/>
    </row>
    <row r="56" spans="1:7">
      <c r="B56" s="317" t="s">
        <v>1505</v>
      </c>
      <c r="C56" s="319">
        <f ca="1">1-C57</f>
        <v>0.71</v>
      </c>
    </row>
    <row r="57" spans="1:7">
      <c r="B57" s="317" t="s">
        <v>1506</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9</v>
      </c>
    </row>
    <row r="2" spans="1:33" ht="18" customHeight="1">
      <c r="A2" s="245" t="s">
        <v>2280</v>
      </c>
      <c r="B2" s="248">
        <f ca="1">C32</f>
        <v>64374</v>
      </c>
      <c r="C2" s="320" t="s">
        <v>2413</v>
      </c>
      <c r="D2" s="320"/>
      <c r="E2" s="320"/>
      <c r="F2" s="320"/>
      <c r="G2" s="320"/>
      <c r="H2" s="320"/>
      <c r="I2" s="320"/>
      <c r="J2" s="320"/>
      <c r="K2" s="320"/>
    </row>
    <row r="3" spans="1:33" ht="18" customHeight="1" thickBot="1">
      <c r="A3" s="247" t="s">
        <v>2282</v>
      </c>
      <c r="B3" s="248">
        <f ca="1">ROUND(B2*10000/IF(C1="",'数据-汇总表'!E3,INDIRECT("'数据-取费表'!K"&amp;$K$1)),0)</f>
        <v>4057</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42474</v>
      </c>
      <c r="D11" s="973"/>
      <c r="E11" s="375"/>
      <c r="F11" s="974">
        <f ca="1">1-IF('数据-取费表'!B24=0,1,IF(C1="",'数据-取费表'!N16,INDIRECT("'数据-取费表'!n"&amp;$K$1)))</f>
        <v>0.84</v>
      </c>
      <c r="G11" s="8"/>
      <c r="H11" s="968"/>
      <c r="I11" s="968"/>
      <c r="J11" s="968"/>
      <c r="K11" s="969"/>
    </row>
    <row r="12" spans="1:33" s="975" customFormat="1" ht="13.5" customHeight="1">
      <c r="A12" s="971" t="s">
        <v>1327</v>
      </c>
      <c r="B12" s="972" t="s">
        <v>2431</v>
      </c>
      <c r="C12" s="24">
        <f ca="1">ROUND(C11*F12,0)</f>
        <v>2124</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1999</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637</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47234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49170</v>
      </c>
      <c r="D21" s="987"/>
      <c r="E21" s="325"/>
      <c r="F21" s="325"/>
      <c r="G21" s="140" t="s">
        <v>2447</v>
      </c>
      <c r="H21" s="979"/>
      <c r="I21" s="979"/>
      <c r="J21" s="979"/>
      <c r="K21" s="980"/>
    </row>
    <row r="22" spans="1:33" s="975" customFormat="1" ht="13.5" customHeight="1">
      <c r="A22" s="961" t="s">
        <v>2419</v>
      </c>
      <c r="B22" s="985" t="s">
        <v>2448</v>
      </c>
      <c r="C22" s="986">
        <f ca="1">ROUND(C21*F22,0)</f>
        <v>492</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1277</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2049</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2049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10188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10188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64374</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5"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1812"/>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1794" t="str">
        <f t="shared" si="6"/>
        <v>容积率</v>
      </c>
      <c r="R11" s="770" t="s">
        <v>21</v>
      </c>
      <c r="S11" s="771">
        <f t="shared" si="0"/>
        <v>99</v>
      </c>
      <c r="T11" s="770" t="s">
        <v>21</v>
      </c>
      <c r="U11" s="771">
        <f t="shared" si="1"/>
        <v>100</v>
      </c>
      <c r="V11" s="770" t="s">
        <v>21</v>
      </c>
      <c r="W11" s="771">
        <f t="shared" si="2"/>
        <v>102</v>
      </c>
      <c r="X11" s="772"/>
      <c r="Y11" s="3039"/>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1794">
        <f t="shared" si="6"/>
        <v>0</v>
      </c>
      <c r="R12" s="770" t="s">
        <v>21</v>
      </c>
      <c r="S12" s="771">
        <f t="shared" si="0"/>
        <v>100</v>
      </c>
      <c r="T12" s="770" t="s">
        <v>21</v>
      </c>
      <c r="U12" s="771">
        <f t="shared" si="1"/>
        <v>100</v>
      </c>
      <c r="V12" s="770" t="s">
        <v>21</v>
      </c>
      <c r="W12" s="771">
        <f t="shared" si="2"/>
        <v>100</v>
      </c>
      <c r="X12" s="772"/>
      <c r="Y12" s="3039"/>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1794">
        <f t="shared" si="6"/>
        <v>0</v>
      </c>
      <c r="R13" s="770" t="s">
        <v>21</v>
      </c>
      <c r="S13" s="771">
        <f t="shared" si="0"/>
        <v>100</v>
      </c>
      <c r="T13" s="770" t="s">
        <v>21</v>
      </c>
      <c r="U13" s="771">
        <f t="shared" si="1"/>
        <v>100</v>
      </c>
      <c r="V13" s="770" t="s">
        <v>21</v>
      </c>
      <c r="W13" s="771">
        <f t="shared" si="2"/>
        <v>100</v>
      </c>
      <c r="X13" s="772"/>
      <c r="Y13" s="3039"/>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1794">
        <f t="shared" si="6"/>
        <v>0</v>
      </c>
      <c r="R14" s="770" t="s">
        <v>21</v>
      </c>
      <c r="S14" s="771">
        <f t="shared" si="0"/>
        <v>100</v>
      </c>
      <c r="T14" s="770" t="s">
        <v>21</v>
      </c>
      <c r="U14" s="771">
        <f t="shared" si="1"/>
        <v>100</v>
      </c>
      <c r="V14" s="770" t="s">
        <v>21</v>
      </c>
      <c r="W14" s="771">
        <f t="shared" si="2"/>
        <v>100</v>
      </c>
      <c r="X14" s="772"/>
      <c r="Y14" s="3039"/>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1809" t="str">
        <f t="shared" si="6"/>
        <v>居住社区成熟度</v>
      </c>
      <c r="R15" s="774" t="s">
        <v>21</v>
      </c>
      <c r="S15" s="775">
        <f t="shared" si="0"/>
        <v>100</v>
      </c>
      <c r="T15" s="774" t="s">
        <v>21</v>
      </c>
      <c r="U15" s="775">
        <f t="shared" si="1"/>
        <v>100</v>
      </c>
      <c r="V15" s="774" t="s">
        <v>21</v>
      </c>
      <c r="W15" s="775">
        <f t="shared" si="2"/>
        <v>100</v>
      </c>
      <c r="X15" s="1812"/>
      <c r="Y15" s="3190"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1809" t="str">
        <f>B17</f>
        <v>交通便捷度</v>
      </c>
      <c r="R17" s="774" t="s">
        <v>21</v>
      </c>
      <c r="S17" s="775">
        <f>F17</f>
        <v>104</v>
      </c>
      <c r="T17" s="774" t="s">
        <v>21</v>
      </c>
      <c r="U17" s="775">
        <f>H17</f>
        <v>100</v>
      </c>
      <c r="V17" s="774" t="s">
        <v>21</v>
      </c>
      <c r="W17" s="775">
        <f>J17</f>
        <v>104</v>
      </c>
      <c r="X17" s="1812"/>
      <c r="Y17" s="3191"/>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1809" t="str">
        <f>B19</f>
        <v>公共配套设施</v>
      </c>
      <c r="R19" s="774" t="s">
        <v>21</v>
      </c>
      <c r="S19" s="775">
        <f>F19</f>
        <v>100</v>
      </c>
      <c r="T19" s="774" t="s">
        <v>21</v>
      </c>
      <c r="U19" s="775">
        <f>H19</f>
        <v>100</v>
      </c>
      <c r="V19" s="774" t="s">
        <v>21</v>
      </c>
      <c r="W19" s="775">
        <f>J19</f>
        <v>100</v>
      </c>
      <c r="X19" s="1812"/>
      <c r="Y19" s="3191"/>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1809" t="str">
        <f>B23</f>
        <v>自然及人文环境</v>
      </c>
      <c r="R23" s="774" t="s">
        <v>21</v>
      </c>
      <c r="S23" s="775">
        <f>F23</f>
        <v>100</v>
      </c>
      <c r="T23" s="774" t="s">
        <v>21</v>
      </c>
      <c r="U23" s="775">
        <f>H23</f>
        <v>100</v>
      </c>
      <c r="V23" s="774" t="s">
        <v>21</v>
      </c>
      <c r="W23" s="775">
        <f>J23</f>
        <v>100</v>
      </c>
      <c r="X23" s="1812"/>
      <c r="Y23" s="3191"/>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1"/>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1809" t="str">
        <f t="shared" si="11"/>
        <v>朝向</v>
      </c>
      <c r="R26" s="774" t="s">
        <v>21</v>
      </c>
      <c r="S26" s="775">
        <f t="shared" si="12"/>
        <v>100</v>
      </c>
      <c r="T26" s="774" t="s">
        <v>21</v>
      </c>
      <c r="U26" s="775">
        <f t="shared" si="13"/>
        <v>100</v>
      </c>
      <c r="V26" s="774" t="s">
        <v>21</v>
      </c>
      <c r="W26" s="775">
        <f t="shared" si="14"/>
        <v>100</v>
      </c>
      <c r="X26" s="1812"/>
      <c r="Y26" s="3191"/>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1794">
        <f t="shared" si="11"/>
        <v>0</v>
      </c>
      <c r="R27" s="770" t="s">
        <v>21</v>
      </c>
      <c r="S27" s="771">
        <f t="shared" si="12"/>
        <v>100</v>
      </c>
      <c r="T27" s="770" t="s">
        <v>21</v>
      </c>
      <c r="U27" s="771">
        <f t="shared" si="13"/>
        <v>100</v>
      </c>
      <c r="V27" s="770" t="s">
        <v>21</v>
      </c>
      <c r="W27" s="771">
        <f t="shared" si="14"/>
        <v>100</v>
      </c>
      <c r="X27" s="772"/>
      <c r="Y27" s="3191"/>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1809">
        <f t="shared" si="11"/>
        <v>0</v>
      </c>
      <c r="R28" s="774" t="s">
        <v>21</v>
      </c>
      <c r="S28" s="775">
        <f t="shared" si="12"/>
        <v>100</v>
      </c>
      <c r="T28" s="774" t="s">
        <v>21</v>
      </c>
      <c r="U28" s="775">
        <f t="shared" si="13"/>
        <v>100</v>
      </c>
      <c r="V28" s="774" t="s">
        <v>21</v>
      </c>
      <c r="W28" s="775">
        <f t="shared" si="14"/>
        <v>100</v>
      </c>
      <c r="X28" s="1812"/>
      <c r="Y28" s="3191"/>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1809">
        <f t="shared" si="11"/>
        <v>0</v>
      </c>
      <c r="R29" s="774" t="s">
        <v>21</v>
      </c>
      <c r="S29" s="775">
        <f t="shared" si="12"/>
        <v>100</v>
      </c>
      <c r="T29" s="774" t="s">
        <v>21</v>
      </c>
      <c r="U29" s="775">
        <f t="shared" si="13"/>
        <v>100</v>
      </c>
      <c r="V29" s="774" t="s">
        <v>21</v>
      </c>
      <c r="W29" s="775">
        <f t="shared" si="14"/>
        <v>100</v>
      </c>
      <c r="X29" s="1812"/>
      <c r="Y29" s="3191"/>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1809">
        <f t="shared" si="11"/>
        <v>0</v>
      </c>
      <c r="R30" s="774" t="s">
        <v>21</v>
      </c>
      <c r="S30" s="775">
        <f t="shared" si="12"/>
        <v>100</v>
      </c>
      <c r="T30" s="774" t="s">
        <v>21</v>
      </c>
      <c r="U30" s="775">
        <f t="shared" si="13"/>
        <v>100</v>
      </c>
      <c r="V30" s="774" t="s">
        <v>21</v>
      </c>
      <c r="W30" s="775">
        <f t="shared" si="14"/>
        <v>100</v>
      </c>
      <c r="X30" s="1812"/>
      <c r="Y30" s="3191"/>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1809">
        <f t="shared" si="11"/>
        <v>0</v>
      </c>
      <c r="R31" s="774" t="s">
        <v>21</v>
      </c>
      <c r="S31" s="775">
        <f t="shared" si="12"/>
        <v>100</v>
      </c>
      <c r="T31" s="774" t="s">
        <v>21</v>
      </c>
      <c r="U31" s="775">
        <f t="shared" si="13"/>
        <v>100</v>
      </c>
      <c r="V31" s="774" t="s">
        <v>21</v>
      </c>
      <c r="W31" s="775">
        <f t="shared" si="14"/>
        <v>100</v>
      </c>
      <c r="X31" s="1812"/>
      <c r="Y31" s="3191"/>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0" t="s">
        <v>2515</v>
      </c>
      <c r="Q32" s="1809" t="str">
        <f t="shared" si="11"/>
        <v>建筑类型</v>
      </c>
      <c r="R32" s="774" t="s">
        <v>21</v>
      </c>
      <c r="S32" s="775">
        <f t="shared" si="12"/>
        <v>100</v>
      </c>
      <c r="T32" s="774" t="s">
        <v>21</v>
      </c>
      <c r="U32" s="775">
        <f t="shared" si="13"/>
        <v>100</v>
      </c>
      <c r="V32" s="774" t="s">
        <v>21</v>
      </c>
      <c r="W32" s="775">
        <f t="shared" si="14"/>
        <v>100</v>
      </c>
      <c r="X32" s="1812"/>
      <c r="Y32" s="3193"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3"/>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3"/>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3"/>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1794"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1809" t="str">
        <f t="shared" si="11"/>
        <v>物业管理</v>
      </c>
      <c r="R38" s="774" t="s">
        <v>21</v>
      </c>
      <c r="S38" s="775">
        <f t="shared" si="12"/>
        <v>100</v>
      </c>
      <c r="T38" s="774" t="s">
        <v>21</v>
      </c>
      <c r="U38" s="775">
        <f t="shared" si="13"/>
        <v>100</v>
      </c>
      <c r="V38" s="774" t="s">
        <v>21</v>
      </c>
      <c r="W38" s="775">
        <f t="shared" si="14"/>
        <v>100</v>
      </c>
      <c r="X38" s="1812"/>
      <c r="Y38" s="3193"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3"/>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3"/>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3"/>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3"/>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1794">
        <f t="shared" si="11"/>
        <v>0</v>
      </c>
      <c r="R44" s="770" t="s">
        <v>21</v>
      </c>
      <c r="S44" s="771">
        <f t="shared" si="12"/>
        <v>100</v>
      </c>
      <c r="T44" s="770" t="s">
        <v>21</v>
      </c>
      <c r="U44" s="771">
        <f t="shared" si="13"/>
        <v>100</v>
      </c>
      <c r="V44" s="770" t="s">
        <v>21</v>
      </c>
      <c r="W44" s="771">
        <f t="shared" si="14"/>
        <v>100</v>
      </c>
      <c r="X44" s="772"/>
      <c r="Y44" s="3193"/>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1809">
        <f t="shared" si="11"/>
        <v>0</v>
      </c>
      <c r="R45" s="774" t="s">
        <v>21</v>
      </c>
      <c r="S45" s="775">
        <f t="shared" si="12"/>
        <v>100</v>
      </c>
      <c r="T45" s="774" t="s">
        <v>21</v>
      </c>
      <c r="U45" s="775">
        <f t="shared" si="13"/>
        <v>100</v>
      </c>
      <c r="V45" s="774" t="s">
        <v>21</v>
      </c>
      <c r="W45" s="775">
        <f t="shared" si="14"/>
        <v>100</v>
      </c>
      <c r="X45" s="1812"/>
      <c r="Y45" s="3193"/>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1809">
        <f t="shared" si="11"/>
        <v>0</v>
      </c>
      <c r="R46" s="774" t="s">
        <v>20</v>
      </c>
      <c r="S46" s="775">
        <f t="shared" si="12"/>
        <v>100</v>
      </c>
      <c r="T46" s="774" t="s">
        <v>20</v>
      </c>
      <c r="U46" s="775">
        <f t="shared" si="13"/>
        <v>100</v>
      </c>
      <c r="V46" s="774" t="s">
        <v>20</v>
      </c>
      <c r="W46" s="775">
        <f t="shared" si="14"/>
        <v>100</v>
      </c>
      <c r="X46" s="1812"/>
      <c r="Y46" s="3233"/>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88" t="str">
        <f>A48</f>
        <v>比较价值（元/平方米）</v>
      </c>
      <c r="Q48" s="3188"/>
      <c r="R48" s="3229">
        <f>IF(F1="售价",ROUND(PRODUCT(R47,AA7:AA46),0),ROUND(PRODUCT(R47,AA7:AA46),1))</f>
        <v>11014</v>
      </c>
      <c r="S48" s="3229"/>
      <c r="T48" s="3229">
        <f>IF(F1="售价",ROUND(PRODUCT(T47,AB7:AB46),0),ROUND(PRODUCT(T47,AB7:AB46),1))</f>
        <v>11224</v>
      </c>
      <c r="U48" s="3229"/>
      <c r="V48" s="3229">
        <f>IF(F1="售价",ROUND(PRODUCT(V47,AC7:AC46),0),ROUND(PRODUCT(V47,AC7:AC46),1))</f>
        <v>10370</v>
      </c>
      <c r="W48" s="3229"/>
      <c r="X48" s="759"/>
      <c r="Y48" s="759"/>
      <c r="Z48" s="759"/>
      <c r="AA48" s="759"/>
      <c r="AB48" s="759"/>
      <c r="AC48" s="759"/>
    </row>
    <row r="49" spans="1:29" ht="15.75" thickBot="1">
      <c r="A49" s="492" t="s">
        <v>3277</v>
      </c>
      <c r="B49" s="493"/>
      <c r="C49" s="1416">
        <f>R49</f>
        <v>10869</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10869</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2979"/>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2979"/>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2979"/>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2965" t="str">
        <f t="shared" ref="Q9:Q15" si="6">B9</f>
        <v>用途</v>
      </c>
      <c r="R9" s="770" t="s">
        <v>17</v>
      </c>
      <c r="S9" s="771">
        <f t="shared" si="0"/>
        <v>100</v>
      </c>
      <c r="T9" s="770" t="s">
        <v>17</v>
      </c>
      <c r="U9" s="771">
        <f t="shared" si="1"/>
        <v>100</v>
      </c>
      <c r="V9" s="770" t="s">
        <v>17</v>
      </c>
      <c r="W9" s="771">
        <f t="shared" si="2"/>
        <v>100</v>
      </c>
      <c r="X9" s="772"/>
      <c r="Y9" s="3039"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2965" t="str">
        <f t="shared" si="6"/>
        <v>土地使用年限（年）</v>
      </c>
      <c r="R10" s="770" t="s">
        <v>17</v>
      </c>
      <c r="S10" s="771">
        <f t="shared" si="0"/>
        <v>100</v>
      </c>
      <c r="T10" s="770" t="s">
        <v>17</v>
      </c>
      <c r="U10" s="771">
        <f t="shared" si="1"/>
        <v>100</v>
      </c>
      <c r="V10" s="770" t="s">
        <v>17</v>
      </c>
      <c r="W10" s="771">
        <f t="shared" si="2"/>
        <v>100</v>
      </c>
      <c r="X10" s="772"/>
      <c r="Y10" s="3039"/>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2965" t="str">
        <f t="shared" si="6"/>
        <v>容积率</v>
      </c>
      <c r="R11" s="770" t="s">
        <v>21</v>
      </c>
      <c r="S11" s="771">
        <f t="shared" si="0"/>
        <v>99</v>
      </c>
      <c r="T11" s="770" t="s">
        <v>21</v>
      </c>
      <c r="U11" s="771">
        <f t="shared" si="1"/>
        <v>100</v>
      </c>
      <c r="V11" s="770" t="s">
        <v>21</v>
      </c>
      <c r="W11" s="771">
        <f t="shared" si="2"/>
        <v>102</v>
      </c>
      <c r="X11" s="772"/>
      <c r="Y11" s="3039"/>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2965">
        <f t="shared" si="6"/>
        <v>0</v>
      </c>
      <c r="R12" s="770" t="s">
        <v>21</v>
      </c>
      <c r="S12" s="771">
        <f t="shared" si="0"/>
        <v>100</v>
      </c>
      <c r="T12" s="770" t="s">
        <v>21</v>
      </c>
      <c r="U12" s="771">
        <f t="shared" si="1"/>
        <v>100</v>
      </c>
      <c r="V12" s="770" t="s">
        <v>21</v>
      </c>
      <c r="W12" s="771">
        <f t="shared" si="2"/>
        <v>100</v>
      </c>
      <c r="X12" s="772"/>
      <c r="Y12" s="3039"/>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2965">
        <f t="shared" si="6"/>
        <v>0</v>
      </c>
      <c r="R13" s="770" t="s">
        <v>21</v>
      </c>
      <c r="S13" s="771">
        <f t="shared" si="0"/>
        <v>100</v>
      </c>
      <c r="T13" s="770" t="s">
        <v>21</v>
      </c>
      <c r="U13" s="771">
        <f t="shared" si="1"/>
        <v>100</v>
      </c>
      <c r="V13" s="770" t="s">
        <v>21</v>
      </c>
      <c r="W13" s="771">
        <f t="shared" si="2"/>
        <v>100</v>
      </c>
      <c r="X13" s="772"/>
      <c r="Y13" s="3039"/>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2965">
        <f t="shared" si="6"/>
        <v>0</v>
      </c>
      <c r="R14" s="770" t="s">
        <v>21</v>
      </c>
      <c r="S14" s="771">
        <f t="shared" si="0"/>
        <v>100</v>
      </c>
      <c r="T14" s="770" t="s">
        <v>21</v>
      </c>
      <c r="U14" s="771">
        <f t="shared" si="1"/>
        <v>100</v>
      </c>
      <c r="V14" s="770" t="s">
        <v>21</v>
      </c>
      <c r="W14" s="771">
        <f t="shared" si="2"/>
        <v>100</v>
      </c>
      <c r="X14" s="772"/>
      <c r="Y14" s="3039"/>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2977" t="str">
        <f t="shared" si="6"/>
        <v>居住社区成熟度</v>
      </c>
      <c r="R15" s="774" t="s">
        <v>21</v>
      </c>
      <c r="S15" s="775">
        <f t="shared" si="0"/>
        <v>100</v>
      </c>
      <c r="T15" s="774" t="s">
        <v>21</v>
      </c>
      <c r="U15" s="775">
        <f t="shared" si="1"/>
        <v>100</v>
      </c>
      <c r="V15" s="774" t="s">
        <v>21</v>
      </c>
      <c r="W15" s="775">
        <f t="shared" si="2"/>
        <v>100</v>
      </c>
      <c r="X15" s="2979"/>
      <c r="Y15" s="3190"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2977"/>
      <c r="R16" s="774"/>
      <c r="S16" s="775"/>
      <c r="T16" s="774"/>
      <c r="U16" s="775"/>
      <c r="V16" s="774"/>
      <c r="W16" s="775"/>
      <c r="X16" s="2979"/>
      <c r="Y16" s="3191"/>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2977" t="str">
        <f>B17</f>
        <v>交通便捷度</v>
      </c>
      <c r="R17" s="774" t="s">
        <v>21</v>
      </c>
      <c r="S17" s="775">
        <f>F17</f>
        <v>104</v>
      </c>
      <c r="T17" s="774" t="s">
        <v>21</v>
      </c>
      <c r="U17" s="775">
        <f>H17</f>
        <v>100</v>
      </c>
      <c r="V17" s="774" t="s">
        <v>21</v>
      </c>
      <c r="W17" s="775">
        <f>J17</f>
        <v>104</v>
      </c>
      <c r="X17" s="2979"/>
      <c r="Y17" s="3191"/>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2977"/>
      <c r="R18" s="774"/>
      <c r="S18" s="775"/>
      <c r="T18" s="774"/>
      <c r="U18" s="775"/>
      <c r="V18" s="774"/>
      <c r="W18" s="775"/>
      <c r="X18" s="2979"/>
      <c r="Y18" s="3191"/>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2977" t="str">
        <f>B19</f>
        <v>公共配套设施</v>
      </c>
      <c r="R19" s="774" t="s">
        <v>21</v>
      </c>
      <c r="S19" s="775">
        <f>F19</f>
        <v>100</v>
      </c>
      <c r="T19" s="774" t="s">
        <v>21</v>
      </c>
      <c r="U19" s="775">
        <f>H19</f>
        <v>100</v>
      </c>
      <c r="V19" s="774" t="s">
        <v>21</v>
      </c>
      <c r="W19" s="775">
        <f>J19</f>
        <v>100</v>
      </c>
      <c r="X19" s="2979"/>
      <c r="Y19" s="3191"/>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2977"/>
      <c r="R20" s="774"/>
      <c r="S20" s="775"/>
      <c r="T20" s="774"/>
      <c r="U20" s="775"/>
      <c r="V20" s="774"/>
      <c r="W20" s="775"/>
      <c r="X20" s="2979"/>
      <c r="Y20" s="3191"/>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2977" t="str">
        <f>B21</f>
        <v>基础设施水平</v>
      </c>
      <c r="R21" s="774" t="s">
        <v>17</v>
      </c>
      <c r="S21" s="775">
        <f>F21</f>
        <v>100</v>
      </c>
      <c r="T21" s="774" t="s">
        <v>17</v>
      </c>
      <c r="U21" s="775">
        <f>H21</f>
        <v>100</v>
      </c>
      <c r="V21" s="774" t="s">
        <v>17</v>
      </c>
      <c r="W21" s="775">
        <f>J21</f>
        <v>100</v>
      </c>
      <c r="X21" s="2979"/>
      <c r="Y21" s="3191"/>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2977"/>
      <c r="R22" s="774"/>
      <c r="S22" s="775"/>
      <c r="T22" s="774"/>
      <c r="U22" s="775"/>
      <c r="V22" s="774"/>
      <c r="W22" s="775"/>
      <c r="X22" s="2979"/>
      <c r="Y22" s="3191"/>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2977" t="str">
        <f>B23</f>
        <v>自然及人文环境</v>
      </c>
      <c r="R23" s="774" t="s">
        <v>21</v>
      </c>
      <c r="S23" s="775">
        <f>F23</f>
        <v>100</v>
      </c>
      <c r="T23" s="774" t="s">
        <v>21</v>
      </c>
      <c r="U23" s="775">
        <f>H23</f>
        <v>100</v>
      </c>
      <c r="V23" s="774" t="s">
        <v>21</v>
      </c>
      <c r="W23" s="775">
        <f>J23</f>
        <v>100</v>
      </c>
      <c r="X23" s="2979"/>
      <c r="Y23" s="3191"/>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2977"/>
      <c r="R24" s="774"/>
      <c r="S24" s="775"/>
      <c r="T24" s="774"/>
      <c r="U24" s="775"/>
      <c r="V24" s="774"/>
      <c r="W24" s="775"/>
      <c r="X24" s="2979"/>
      <c r="Y24" s="3191"/>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91"/>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2977" t="str">
        <f t="shared" si="11"/>
        <v>朝向</v>
      </c>
      <c r="R26" s="774" t="s">
        <v>21</v>
      </c>
      <c r="S26" s="775">
        <f t="shared" si="12"/>
        <v>100</v>
      </c>
      <c r="T26" s="774" t="s">
        <v>21</v>
      </c>
      <c r="U26" s="775">
        <f t="shared" si="13"/>
        <v>100</v>
      </c>
      <c r="V26" s="774" t="s">
        <v>21</v>
      </c>
      <c r="W26" s="775">
        <f t="shared" si="14"/>
        <v>100</v>
      </c>
      <c r="X26" s="2979"/>
      <c r="Y26" s="3191"/>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2965">
        <f t="shared" si="11"/>
        <v>0</v>
      </c>
      <c r="R27" s="770" t="s">
        <v>21</v>
      </c>
      <c r="S27" s="771">
        <f t="shared" si="12"/>
        <v>100</v>
      </c>
      <c r="T27" s="770" t="s">
        <v>21</v>
      </c>
      <c r="U27" s="771">
        <f t="shared" si="13"/>
        <v>100</v>
      </c>
      <c r="V27" s="770" t="s">
        <v>21</v>
      </c>
      <c r="W27" s="771">
        <f t="shared" si="14"/>
        <v>100</v>
      </c>
      <c r="X27" s="772"/>
      <c r="Y27" s="3191"/>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2977">
        <f t="shared" si="11"/>
        <v>0</v>
      </c>
      <c r="R28" s="774" t="s">
        <v>21</v>
      </c>
      <c r="S28" s="775">
        <f t="shared" si="12"/>
        <v>100</v>
      </c>
      <c r="T28" s="774" t="s">
        <v>21</v>
      </c>
      <c r="U28" s="775">
        <f t="shared" si="13"/>
        <v>100</v>
      </c>
      <c r="V28" s="774" t="s">
        <v>21</v>
      </c>
      <c r="W28" s="775">
        <f t="shared" si="14"/>
        <v>100</v>
      </c>
      <c r="X28" s="2979"/>
      <c r="Y28" s="3191"/>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2977">
        <f t="shared" si="11"/>
        <v>0</v>
      </c>
      <c r="R29" s="774" t="s">
        <v>21</v>
      </c>
      <c r="S29" s="775">
        <f t="shared" si="12"/>
        <v>100</v>
      </c>
      <c r="T29" s="774" t="s">
        <v>21</v>
      </c>
      <c r="U29" s="775">
        <f t="shared" si="13"/>
        <v>100</v>
      </c>
      <c r="V29" s="774" t="s">
        <v>21</v>
      </c>
      <c r="W29" s="775">
        <f t="shared" si="14"/>
        <v>100</v>
      </c>
      <c r="X29" s="2979"/>
      <c r="Y29" s="3191"/>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2977">
        <f t="shared" si="11"/>
        <v>0</v>
      </c>
      <c r="R30" s="774" t="s">
        <v>21</v>
      </c>
      <c r="S30" s="775">
        <f t="shared" si="12"/>
        <v>100</v>
      </c>
      <c r="T30" s="774" t="s">
        <v>21</v>
      </c>
      <c r="U30" s="775">
        <f t="shared" si="13"/>
        <v>100</v>
      </c>
      <c r="V30" s="774" t="s">
        <v>21</v>
      </c>
      <c r="W30" s="775">
        <f t="shared" si="14"/>
        <v>100</v>
      </c>
      <c r="X30" s="2979"/>
      <c r="Y30" s="3191"/>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2977">
        <f t="shared" si="11"/>
        <v>0</v>
      </c>
      <c r="R31" s="774" t="s">
        <v>21</v>
      </c>
      <c r="S31" s="775">
        <f t="shared" si="12"/>
        <v>100</v>
      </c>
      <c r="T31" s="774" t="s">
        <v>21</v>
      </c>
      <c r="U31" s="775">
        <f t="shared" si="13"/>
        <v>100</v>
      </c>
      <c r="V31" s="774" t="s">
        <v>21</v>
      </c>
      <c r="W31" s="775">
        <f t="shared" si="14"/>
        <v>100</v>
      </c>
      <c r="X31" s="2979"/>
      <c r="Y31" s="3191"/>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0" t="s">
        <v>2515</v>
      </c>
      <c r="Q32" s="2977" t="str">
        <f t="shared" si="11"/>
        <v>建筑类型</v>
      </c>
      <c r="R32" s="774" t="s">
        <v>21</v>
      </c>
      <c r="S32" s="775">
        <f t="shared" si="12"/>
        <v>90</v>
      </c>
      <c r="T32" s="774" t="s">
        <v>21</v>
      </c>
      <c r="U32" s="775">
        <f t="shared" si="13"/>
        <v>90</v>
      </c>
      <c r="V32" s="774" t="s">
        <v>21</v>
      </c>
      <c r="W32" s="775">
        <f t="shared" si="14"/>
        <v>90</v>
      </c>
      <c r="X32" s="2979"/>
      <c r="Y32" s="3193"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2977" t="str">
        <f t="shared" si="11"/>
        <v>建筑结构</v>
      </c>
      <c r="R34" s="774" t="s">
        <v>21</v>
      </c>
      <c r="S34" s="775">
        <f t="shared" si="12"/>
        <v>100</v>
      </c>
      <c r="T34" s="774" t="s">
        <v>21</v>
      </c>
      <c r="U34" s="775">
        <f t="shared" si="13"/>
        <v>100</v>
      </c>
      <c r="V34" s="774" t="s">
        <v>21</v>
      </c>
      <c r="W34" s="775">
        <f t="shared" si="14"/>
        <v>100</v>
      </c>
      <c r="X34" s="2979"/>
      <c r="Y34" s="3193"/>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2977" t="str">
        <f t="shared" si="11"/>
        <v>建筑品质</v>
      </c>
      <c r="R35" s="774" t="s">
        <v>21</v>
      </c>
      <c r="S35" s="775">
        <f t="shared" si="12"/>
        <v>100</v>
      </c>
      <c r="T35" s="774" t="s">
        <v>21</v>
      </c>
      <c r="U35" s="775">
        <f t="shared" si="13"/>
        <v>100</v>
      </c>
      <c r="V35" s="774" t="s">
        <v>21</v>
      </c>
      <c r="W35" s="775">
        <f t="shared" si="14"/>
        <v>100</v>
      </c>
      <c r="X35" s="2979"/>
      <c r="Y35" s="3193"/>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2977" t="str">
        <f t="shared" si="11"/>
        <v>公共部分装修</v>
      </c>
      <c r="R36" s="774" t="s">
        <v>21</v>
      </c>
      <c r="S36" s="775">
        <f t="shared" si="12"/>
        <v>100</v>
      </c>
      <c r="T36" s="774" t="s">
        <v>21</v>
      </c>
      <c r="U36" s="775">
        <f t="shared" si="13"/>
        <v>100</v>
      </c>
      <c r="V36" s="774" t="s">
        <v>21</v>
      </c>
      <c r="W36" s="775">
        <f t="shared" si="14"/>
        <v>100</v>
      </c>
      <c r="X36" s="2979"/>
      <c r="Y36" s="3193"/>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2965" t="str">
        <f t="shared" si="11"/>
        <v>成新度</v>
      </c>
      <c r="R37" s="770" t="s">
        <v>21</v>
      </c>
      <c r="S37" s="771">
        <f t="shared" si="12"/>
        <v>100</v>
      </c>
      <c r="T37" s="770" t="s">
        <v>21</v>
      </c>
      <c r="U37" s="771">
        <f t="shared" si="13"/>
        <v>100</v>
      </c>
      <c r="V37" s="770" t="s">
        <v>21</v>
      </c>
      <c r="W37" s="771">
        <f t="shared" si="14"/>
        <v>100</v>
      </c>
      <c r="X37" s="772"/>
      <c r="Y37" s="3193"/>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2977" t="str">
        <f t="shared" si="11"/>
        <v>物业管理</v>
      </c>
      <c r="R38" s="774" t="s">
        <v>21</v>
      </c>
      <c r="S38" s="775">
        <f t="shared" si="12"/>
        <v>100</v>
      </c>
      <c r="T38" s="774" t="s">
        <v>21</v>
      </c>
      <c r="U38" s="775">
        <f t="shared" si="13"/>
        <v>100</v>
      </c>
      <c r="V38" s="774" t="s">
        <v>21</v>
      </c>
      <c r="W38" s="775">
        <f t="shared" si="14"/>
        <v>100</v>
      </c>
      <c r="X38" s="2979"/>
      <c r="Y38" s="3193"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2977" t="str">
        <f t="shared" si="11"/>
        <v>市政基础设施</v>
      </c>
      <c r="R39" s="774" t="s">
        <v>21</v>
      </c>
      <c r="S39" s="775">
        <f t="shared" si="12"/>
        <v>100</v>
      </c>
      <c r="T39" s="774" t="s">
        <v>21</v>
      </c>
      <c r="U39" s="775">
        <f t="shared" si="13"/>
        <v>100</v>
      </c>
      <c r="V39" s="774" t="s">
        <v>21</v>
      </c>
      <c r="W39" s="775">
        <f t="shared" si="14"/>
        <v>100</v>
      </c>
      <c r="X39" s="2979"/>
      <c r="Y39" s="3193"/>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2977" t="str">
        <f t="shared" si="11"/>
        <v>房型</v>
      </c>
      <c r="R40" s="774" t="s">
        <v>21</v>
      </c>
      <c r="S40" s="775">
        <f t="shared" si="12"/>
        <v>100</v>
      </c>
      <c r="T40" s="774" t="s">
        <v>21</v>
      </c>
      <c r="U40" s="775">
        <f t="shared" si="13"/>
        <v>100</v>
      </c>
      <c r="V40" s="774" t="s">
        <v>21</v>
      </c>
      <c r="W40" s="775">
        <f t="shared" si="14"/>
        <v>100</v>
      </c>
      <c r="X40" s="2979"/>
      <c r="Y40" s="3193"/>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2977" t="str">
        <f t="shared" si="11"/>
        <v>内部装修</v>
      </c>
      <c r="R42" s="774" t="s">
        <v>21</v>
      </c>
      <c r="S42" s="775">
        <f t="shared" si="12"/>
        <v>100</v>
      </c>
      <c r="T42" s="774" t="s">
        <v>21</v>
      </c>
      <c r="U42" s="775">
        <f t="shared" si="13"/>
        <v>100</v>
      </c>
      <c r="V42" s="774" t="s">
        <v>21</v>
      </c>
      <c r="W42" s="775">
        <f t="shared" si="14"/>
        <v>100</v>
      </c>
      <c r="X42" s="2979"/>
      <c r="Y42" s="3193"/>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2977" t="str">
        <f t="shared" si="11"/>
        <v>内部装修维护情况</v>
      </c>
      <c r="R43" s="774" t="s">
        <v>21</v>
      </c>
      <c r="S43" s="775">
        <f t="shared" si="12"/>
        <v>100</v>
      </c>
      <c r="T43" s="774" t="s">
        <v>21</v>
      </c>
      <c r="U43" s="775">
        <f t="shared" si="13"/>
        <v>100</v>
      </c>
      <c r="V43" s="774" t="s">
        <v>21</v>
      </c>
      <c r="W43" s="775">
        <f t="shared" si="14"/>
        <v>100</v>
      </c>
      <c r="X43" s="2979"/>
      <c r="Y43" s="3193"/>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2965">
        <f t="shared" si="11"/>
        <v>0</v>
      </c>
      <c r="R44" s="770" t="s">
        <v>21</v>
      </c>
      <c r="S44" s="771">
        <f t="shared" si="12"/>
        <v>100</v>
      </c>
      <c r="T44" s="770" t="s">
        <v>21</v>
      </c>
      <c r="U44" s="771">
        <f t="shared" si="13"/>
        <v>100</v>
      </c>
      <c r="V44" s="770" t="s">
        <v>21</v>
      </c>
      <c r="W44" s="771">
        <f t="shared" si="14"/>
        <v>100</v>
      </c>
      <c r="X44" s="772"/>
      <c r="Y44" s="3193"/>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2977">
        <f t="shared" si="11"/>
        <v>0</v>
      </c>
      <c r="R45" s="774" t="s">
        <v>21</v>
      </c>
      <c r="S45" s="775">
        <f t="shared" si="12"/>
        <v>100</v>
      </c>
      <c r="T45" s="774" t="s">
        <v>21</v>
      </c>
      <c r="U45" s="775">
        <f t="shared" si="13"/>
        <v>100</v>
      </c>
      <c r="V45" s="774" t="s">
        <v>21</v>
      </c>
      <c r="W45" s="775">
        <f t="shared" si="14"/>
        <v>100</v>
      </c>
      <c r="X45" s="2979"/>
      <c r="Y45" s="3193"/>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2977">
        <f t="shared" si="11"/>
        <v>0</v>
      </c>
      <c r="R46" s="774" t="s">
        <v>20</v>
      </c>
      <c r="S46" s="775">
        <f t="shared" si="12"/>
        <v>100</v>
      </c>
      <c r="T46" s="774" t="s">
        <v>20</v>
      </c>
      <c r="U46" s="775">
        <f t="shared" si="13"/>
        <v>100</v>
      </c>
      <c r="V46" s="774" t="s">
        <v>20</v>
      </c>
      <c r="W46" s="775">
        <f t="shared" si="14"/>
        <v>100</v>
      </c>
      <c r="X46" s="2979"/>
      <c r="Y46" s="3233"/>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88" t="str">
        <f>A48</f>
        <v>比较价值（元/平方米）</v>
      </c>
      <c r="Q48" s="3188"/>
      <c r="R48" s="3229">
        <f>IF(F1="售价",ROUND(PRODUCT(R47,AA7:AA46),0),ROUND(PRODUCT(R47,AA7:AA46),1))</f>
        <v>12238</v>
      </c>
      <c r="S48" s="3229"/>
      <c r="T48" s="3229">
        <f>IF(F1="售价",ROUND(PRODUCT(T47,AB7:AB46),0),ROUND(PRODUCT(T47,AB7:AB46),1))</f>
        <v>12472</v>
      </c>
      <c r="U48" s="3229"/>
      <c r="V48" s="3229">
        <f>IF(F1="售价",ROUND(PRODUCT(V47,AC7:AC46),0),ROUND(PRODUCT(V47,AC7:AC46),1))</f>
        <v>11522</v>
      </c>
      <c r="W48" s="3229"/>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12077</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5"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75"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5"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5"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5" thickBot="1">
      <c r="A70" s="1173"/>
      <c r="B70" s="1174"/>
      <c r="C70" s="355"/>
      <c r="D70" s="1185"/>
      <c r="E70" s="1169" t="s">
        <v>1469</v>
      </c>
      <c r="F70" s="1275"/>
      <c r="O70" s="1893" t="s">
        <v>1045</v>
      </c>
      <c r="P70" s="1933" t="s">
        <v>1577</v>
      </c>
      <c r="Q70" s="1885">
        <f ca="1">C13</f>
        <v>2451</v>
      </c>
      <c r="R70" s="1885" t="s">
        <v>1521</v>
      </c>
    </row>
    <row r="71" spans="1:18" s="1841" customFormat="1" ht="13.5"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5"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75"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15510</v>
      </c>
      <c r="C2" s="2565" t="s">
        <v>2469</v>
      </c>
      <c r="D2" s="2566" t="s">
        <v>2470</v>
      </c>
      <c r="E2" s="2567">
        <f>SUM(E6:E13)</f>
        <v>15811.41</v>
      </c>
    </row>
    <row r="3" spans="1:6" ht="15.75">
      <c r="A3" s="2563" t="s">
        <v>1387</v>
      </c>
      <c r="B3" s="2564">
        <f ca="1">ROUND(B2*10000/E2,0)</f>
        <v>9809</v>
      </c>
      <c r="C3" s="2565" t="s">
        <v>2477</v>
      </c>
      <c r="D3" s="2568"/>
      <c r="E3" s="2569"/>
    </row>
    <row r="4" spans="1:6" ht="15.75">
      <c r="A4" s="2570"/>
      <c r="B4" s="2568"/>
      <c r="C4" s="2568"/>
      <c r="D4" s="2568"/>
      <c r="E4" s="2569"/>
    </row>
    <row r="5" spans="1:6" ht="15">
      <c r="A5" s="2571" t="s">
        <v>2471</v>
      </c>
      <c r="B5" s="3243" t="s">
        <v>2472</v>
      </c>
      <c r="C5" s="3243"/>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12368</v>
      </c>
      <c r="C7" s="2565" t="s">
        <v>2469</v>
      </c>
      <c r="D7" s="2568"/>
      <c r="E7" s="2576">
        <f>IF(OR(A7=0,F7="否"),0,'数据-取费表'!K7+'数据-取费表'!S7)</f>
        <v>7301.58</v>
      </c>
      <c r="F7" s="2577" t="s">
        <v>2475</v>
      </c>
    </row>
    <row r="8" spans="1:6">
      <c r="A8" s="2575" t="str">
        <f>'数据-取费表'!AN8</f>
        <v>收益法-地下车库</v>
      </c>
      <c r="B8" s="2574">
        <f ca="1">IF(F8="是",'数据-取费表'!AO8,0)</f>
        <v>3142</v>
      </c>
      <c r="C8" s="2565" t="s">
        <v>2469</v>
      </c>
      <c r="D8" s="2568"/>
      <c r="E8" s="2576">
        <f>IF(OR(A8=0,F8="否"),0,'数据-取费表'!K8+'数据-取费表'!S8)</f>
        <v>8509.83</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60" t="s">
        <v>1072</v>
      </c>
      <c r="B1" s="3261"/>
      <c r="C1" s="3262"/>
      <c r="D1" s="3263">
        <f>SUM(I10,I15,I20,I21,I23)</f>
        <v>0</v>
      </c>
      <c r="E1" s="3263"/>
      <c r="F1" s="3263"/>
      <c r="G1" s="3263"/>
      <c r="H1" s="3263"/>
      <c r="I1" s="3264"/>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4.25">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4.25">
      <c r="A17" s="3250"/>
      <c r="B17" s="3251" t="s">
        <v>1102</v>
      </c>
      <c r="C17" s="3251"/>
      <c r="D17" s="1303"/>
      <c r="E17" s="1303"/>
      <c r="F17" s="1304"/>
      <c r="G17" s="1305"/>
      <c r="H17" s="1315"/>
      <c r="I17" s="1316">
        <f>ROUND(D17*E17*F17*G17/10000,0)</f>
        <v>0</v>
      </c>
    </row>
    <row r="18" spans="1:9" ht="14.25">
      <c r="A18" s="3250"/>
      <c r="B18" s="3251" t="s">
        <v>1103</v>
      </c>
      <c r="C18" s="3251"/>
      <c r="D18" s="1303"/>
      <c r="E18" s="1303"/>
      <c r="F18" s="1304"/>
      <c r="G18" s="1305"/>
      <c r="H18" s="1315"/>
      <c r="I18" s="1316">
        <f>ROUND(D18*E18*F18*G18/10000,0)</f>
        <v>0</v>
      </c>
    </row>
    <row r="19" spans="1:9" ht="14.25">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3"/>
      <c r="C21" s="3253"/>
      <c r="D21" s="3253"/>
      <c r="E21" s="3253"/>
      <c r="F21" s="3253"/>
      <c r="G21" s="3253"/>
      <c r="H21" s="1764">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47">
        <f>C27-C30-C31-C32</f>
        <v>0</v>
      </c>
      <c r="F26" s="3247"/>
      <c r="G26" s="3247"/>
      <c r="H26" s="1736" t="s">
        <v>1332</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9"/>
      <c r="F32" s="3249"/>
      <c r="G32" s="3249"/>
    </row>
    <row r="33" spans="1:7" hidden="1">
      <c r="A33" s="3244" t="s">
        <v>1125</v>
      </c>
      <c r="B33" s="3245"/>
      <c r="C33" s="3245"/>
      <c r="D33" s="3246"/>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4"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4"/>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4"/>
      <c r="AC6" s="3197"/>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2510</v>
      </c>
      <c r="Q15" s="1809" t="str">
        <f t="shared" si="6"/>
        <v>商业繁华度</v>
      </c>
      <c r="R15" s="774" t="s">
        <v>17</v>
      </c>
      <c r="S15" s="775">
        <f t="shared" si="0"/>
        <v>100</v>
      </c>
      <c r="T15" s="774" t="s">
        <v>17</v>
      </c>
      <c r="U15" s="775">
        <f t="shared" si="1"/>
        <v>100</v>
      </c>
      <c r="V15" s="774" t="s">
        <v>17</v>
      </c>
      <c r="W15" s="775">
        <f t="shared" si="2"/>
        <v>100</v>
      </c>
      <c r="X15" s="1812"/>
      <c r="Y15" s="3190"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09" t="str">
        <f>B23</f>
        <v>自然及人文环境</v>
      </c>
      <c r="R23" s="774" t="s">
        <v>17</v>
      </c>
      <c r="S23" s="775">
        <f>F23</f>
        <v>100</v>
      </c>
      <c r="T23" s="774" t="s">
        <v>17</v>
      </c>
      <c r="U23" s="775">
        <f>H23</f>
        <v>100</v>
      </c>
      <c r="V23" s="774" t="s">
        <v>17</v>
      </c>
      <c r="W23" s="775">
        <f>J23</f>
        <v>100</v>
      </c>
      <c r="X23" s="1812"/>
      <c r="Y23" s="319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09" t="str">
        <f t="shared" ref="Q25:Q46" si="11">B25</f>
        <v>临街状况</v>
      </c>
      <c r="R25" s="774" t="s">
        <v>17</v>
      </c>
      <c r="S25" s="775">
        <f>F25</f>
        <v>100</v>
      </c>
      <c r="T25" s="774" t="s">
        <v>17</v>
      </c>
      <c r="U25" s="775">
        <f>H25</f>
        <v>100</v>
      </c>
      <c r="V25" s="774" t="s">
        <v>17</v>
      </c>
      <c r="W25" s="775">
        <f>J25</f>
        <v>100</v>
      </c>
      <c r="X25" s="1812"/>
      <c r="Y25" s="3191"/>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09" t="str">
        <f t="shared" si="11"/>
        <v>平面位置/可视性</v>
      </c>
      <c r="R26" s="774" t="s">
        <v>17</v>
      </c>
      <c r="S26" s="775">
        <f>F26</f>
        <v>100</v>
      </c>
      <c r="T26" s="774" t="s">
        <v>17</v>
      </c>
      <c r="U26" s="775">
        <f>H26</f>
        <v>100</v>
      </c>
      <c r="V26" s="774" t="s">
        <v>17</v>
      </c>
      <c r="W26" s="775">
        <f>J26</f>
        <v>100</v>
      </c>
      <c r="X26" s="1812"/>
      <c r="Y26" s="3191"/>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4" t="str">
        <f t="shared" si="11"/>
        <v>人流量</v>
      </c>
      <c r="R27" s="770" t="s">
        <v>17</v>
      </c>
      <c r="S27" s="771">
        <f>F27</f>
        <v>100</v>
      </c>
      <c r="T27" s="770" t="s">
        <v>17</v>
      </c>
      <c r="U27" s="771">
        <f>H27</f>
        <v>100</v>
      </c>
      <c r="V27" s="770" t="s">
        <v>17</v>
      </c>
      <c r="W27" s="771">
        <f>J27</f>
        <v>100</v>
      </c>
      <c r="X27" s="772"/>
      <c r="Y27" s="3191"/>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09">
        <f t="shared" si="11"/>
        <v>111</v>
      </c>
      <c r="R29" s="774" t="s">
        <v>17</v>
      </c>
      <c r="S29" s="775">
        <f t="shared" si="12"/>
        <v>100</v>
      </c>
      <c r="T29" s="774" t="s">
        <v>17</v>
      </c>
      <c r="U29" s="775">
        <f t="shared" si="13"/>
        <v>100</v>
      </c>
      <c r="V29" s="774" t="s">
        <v>17</v>
      </c>
      <c r="W29" s="775">
        <f t="shared" si="14"/>
        <v>100</v>
      </c>
      <c r="X29" s="1812"/>
      <c r="Y29" s="319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0" t="s">
        <v>2515</v>
      </c>
      <c r="Q32" s="1809" t="str">
        <f t="shared" si="11"/>
        <v>商业类型</v>
      </c>
      <c r="R32" s="774" t="s">
        <v>17</v>
      </c>
      <c r="S32" s="775">
        <f t="shared" si="12"/>
        <v>100</v>
      </c>
      <c r="T32" s="774" t="s">
        <v>17</v>
      </c>
      <c r="U32" s="775">
        <f t="shared" si="13"/>
        <v>100</v>
      </c>
      <c r="V32" s="774" t="s">
        <v>17</v>
      </c>
      <c r="W32" s="775">
        <f t="shared" si="14"/>
        <v>100</v>
      </c>
      <c r="X32" s="1812"/>
      <c r="Y32" s="3193"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3"/>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3"/>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3"/>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1" t="s">
        <v>2515</v>
      </c>
      <c r="Q38" s="1809" t="str">
        <f t="shared" si="11"/>
        <v>业态</v>
      </c>
      <c r="R38" s="774" t="s">
        <v>17</v>
      </c>
      <c r="S38" s="775">
        <f t="shared" si="12"/>
        <v>100</v>
      </c>
      <c r="T38" s="774" t="s">
        <v>17</v>
      </c>
      <c r="U38" s="775">
        <f t="shared" si="13"/>
        <v>100</v>
      </c>
      <c r="V38" s="774" t="s">
        <v>17</v>
      </c>
      <c r="W38" s="775">
        <f t="shared" si="14"/>
        <v>100</v>
      </c>
      <c r="X38" s="1812"/>
      <c r="Y38" s="3193"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3"/>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3"/>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3"/>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3"/>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88" t="str">
        <f>A47</f>
        <v>成交单价（元/平方米）</v>
      </c>
      <c r="Q47" s="3188"/>
      <c r="R47" s="3194">
        <f>E47</f>
        <v>0</v>
      </c>
      <c r="S47" s="3194"/>
      <c r="T47" s="3194">
        <f>G47</f>
        <v>0</v>
      </c>
      <c r="U47" s="3194"/>
      <c r="V47" s="3194">
        <f>I47</f>
        <v>0</v>
      </c>
      <c r="W47" s="3194"/>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71" t="s">
        <v>2600</v>
      </c>
      <c r="Q4" s="3272"/>
      <c r="R4" s="3275" t="s">
        <v>2596</v>
      </c>
      <c r="S4" s="3276"/>
      <c r="T4" s="3275" t="s">
        <v>2597</v>
      </c>
      <c r="U4" s="3276"/>
      <c r="V4" s="3277" t="s">
        <v>2598</v>
      </c>
      <c r="W4" s="3277"/>
      <c r="X4" s="2669"/>
      <c r="Y4" s="3275" t="s">
        <v>2600</v>
      </c>
      <c r="Z4" s="3276"/>
      <c r="AA4" s="3279" t="s">
        <v>2596</v>
      </c>
      <c r="AB4" s="3279" t="s">
        <v>2597</v>
      </c>
      <c r="AC4" s="3268" t="s">
        <v>2598</v>
      </c>
    </row>
    <row r="5" spans="1:29" ht="15">
      <c r="A5" s="404"/>
      <c r="B5" s="405"/>
      <c r="C5" s="3215" t="s">
        <v>2492</v>
      </c>
      <c r="D5" s="3216"/>
      <c r="E5" s="3223" t="s">
        <v>2493</v>
      </c>
      <c r="F5" s="3224"/>
      <c r="G5" s="3215" t="s">
        <v>2494</v>
      </c>
      <c r="H5" s="3216"/>
      <c r="I5" s="3215" t="s">
        <v>2495</v>
      </c>
      <c r="J5" s="3216"/>
      <c r="K5" s="610"/>
      <c r="L5" s="1130"/>
      <c r="M5" s="1131"/>
      <c r="N5" s="1131"/>
      <c r="O5" s="1131"/>
      <c r="P5" s="3273"/>
      <c r="Q5" s="3204"/>
      <c r="R5" s="3209"/>
      <c r="S5" s="3210"/>
      <c r="T5" s="3209"/>
      <c r="U5" s="3210"/>
      <c r="V5" s="3194"/>
      <c r="W5" s="3194"/>
      <c r="X5" s="1812"/>
      <c r="Y5" s="3209"/>
      <c r="Z5" s="3210"/>
      <c r="AA5" s="3196"/>
      <c r="AB5" s="3196"/>
      <c r="AC5" s="3269"/>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74"/>
      <c r="Q6" s="3206"/>
      <c r="R6" s="3209"/>
      <c r="S6" s="3210"/>
      <c r="T6" s="3211"/>
      <c r="U6" s="3212"/>
      <c r="V6" s="3194"/>
      <c r="W6" s="3194"/>
      <c r="X6" s="1812"/>
      <c r="Y6" s="3211"/>
      <c r="Z6" s="3212"/>
      <c r="AA6" s="3197"/>
      <c r="AB6" s="3197"/>
      <c r="AC6" s="3270"/>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2502</v>
      </c>
      <c r="Q8" s="3218"/>
      <c r="R8" s="770" t="s">
        <v>17</v>
      </c>
      <c r="S8" s="771">
        <f t="shared" si="0"/>
        <v>0</v>
      </c>
      <c r="T8" s="770" t="s">
        <v>17</v>
      </c>
      <c r="U8" s="771">
        <f t="shared" si="1"/>
        <v>0</v>
      </c>
      <c r="V8" s="770" t="s">
        <v>17</v>
      </c>
      <c r="W8" s="771">
        <f t="shared" si="2"/>
        <v>0</v>
      </c>
      <c r="X8" s="772"/>
      <c r="Y8" s="3217" t="s">
        <v>2502</v>
      </c>
      <c r="Z8" s="3218"/>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2510</v>
      </c>
      <c r="Q15" s="1809" t="str">
        <f t="shared" si="6"/>
        <v>办公集聚程度</v>
      </c>
      <c r="R15" s="774" t="s">
        <v>17</v>
      </c>
      <c r="S15" s="775">
        <f t="shared" si="0"/>
        <v>100</v>
      </c>
      <c r="T15" s="774" t="s">
        <v>17</v>
      </c>
      <c r="U15" s="775">
        <f t="shared" si="1"/>
        <v>100</v>
      </c>
      <c r="V15" s="774" t="s">
        <v>17</v>
      </c>
      <c r="W15" s="775">
        <f t="shared" si="2"/>
        <v>100</v>
      </c>
      <c r="X15" s="1812"/>
      <c r="Y15" s="3190"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09"/>
      <c r="R22" s="774"/>
      <c r="S22" s="775"/>
      <c r="T22" s="774"/>
      <c r="U22" s="775"/>
      <c r="V22" s="774"/>
      <c r="W22" s="775"/>
      <c r="X22" s="1812"/>
      <c r="Y22" s="3191"/>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09" t="str">
        <f>B25</f>
        <v>毗邻道路的类型与等级</v>
      </c>
      <c r="R25" s="774" t="s">
        <v>17</v>
      </c>
      <c r="S25" s="775">
        <f>F25</f>
        <v>100</v>
      </c>
      <c r="T25" s="774" t="s">
        <v>17</v>
      </c>
      <c r="U25" s="775">
        <f>H25</f>
        <v>100</v>
      </c>
      <c r="V25" s="774" t="s">
        <v>17</v>
      </c>
      <c r="W25" s="775">
        <f>J25</f>
        <v>100</v>
      </c>
      <c r="X25" s="1812"/>
      <c r="Y25" s="319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09"/>
      <c r="R26" s="774"/>
      <c r="S26" s="775"/>
      <c r="T26" s="774"/>
      <c r="U26" s="775"/>
      <c r="V26" s="774"/>
      <c r="W26" s="775"/>
      <c r="X26" s="1812"/>
      <c r="Y26" s="3191"/>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09" t="str">
        <f t="shared" ref="Q27:Q47" si="11">B27</f>
        <v>楼层</v>
      </c>
      <c r="R27" s="774" t="s">
        <v>17</v>
      </c>
      <c r="S27" s="775">
        <f>F27</f>
        <v>100</v>
      </c>
      <c r="T27" s="774" t="s">
        <v>17</v>
      </c>
      <c r="U27" s="775">
        <f>H27</f>
        <v>100</v>
      </c>
      <c r="V27" s="774" t="s">
        <v>17</v>
      </c>
      <c r="W27" s="775">
        <f>J27</f>
        <v>100</v>
      </c>
      <c r="X27" s="1812"/>
      <c r="Y27" s="3191"/>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4" t="str">
        <f t="shared" si="11"/>
        <v>朝向</v>
      </c>
      <c r="R28" s="770" t="s">
        <v>17</v>
      </c>
      <c r="S28" s="771">
        <f>F28</f>
        <v>100</v>
      </c>
      <c r="T28" s="770" t="s">
        <v>17</v>
      </c>
      <c r="U28" s="771">
        <f>H28</f>
        <v>100</v>
      </c>
      <c r="V28" s="770" t="s">
        <v>17</v>
      </c>
      <c r="W28" s="771">
        <f>J28</f>
        <v>100</v>
      </c>
      <c r="X28" s="772"/>
      <c r="Y28" s="319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09">
        <f t="shared" si="11"/>
        <v>111</v>
      </c>
      <c r="R29" s="774" t="s">
        <v>17</v>
      </c>
      <c r="S29" s="775">
        <f t="shared" ref="S29:S47" si="12">F29</f>
        <v>100</v>
      </c>
      <c r="T29" s="774" t="s">
        <v>17</v>
      </c>
      <c r="U29" s="775">
        <f t="shared" ref="U29:U47" si="13">H29</f>
        <v>100</v>
      </c>
      <c r="V29" s="774" t="s">
        <v>17</v>
      </c>
      <c r="W29" s="775">
        <f t="shared" ref="W29:W47" si="14">J29</f>
        <v>100</v>
      </c>
      <c r="X29" s="1812"/>
      <c r="Y29" s="319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09">
        <f t="shared" si="11"/>
        <v>111</v>
      </c>
      <c r="R32" s="774" t="s">
        <v>17</v>
      </c>
      <c r="S32" s="775">
        <f t="shared" si="12"/>
        <v>100</v>
      </c>
      <c r="T32" s="774" t="s">
        <v>17</v>
      </c>
      <c r="U32" s="775">
        <f t="shared" si="13"/>
        <v>100</v>
      </c>
      <c r="V32" s="774" t="s">
        <v>17</v>
      </c>
      <c r="W32" s="775">
        <f t="shared" si="14"/>
        <v>100</v>
      </c>
      <c r="X32" s="1812"/>
      <c r="Y32" s="3191"/>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0" t="s">
        <v>2515</v>
      </c>
      <c r="Q33" s="1809" t="str">
        <f t="shared" si="11"/>
        <v>建筑类型</v>
      </c>
      <c r="R33" s="774" t="s">
        <v>17</v>
      </c>
      <c r="S33" s="775">
        <f t="shared" si="12"/>
        <v>100</v>
      </c>
      <c r="T33" s="774" t="s">
        <v>17</v>
      </c>
      <c r="U33" s="775">
        <f t="shared" si="13"/>
        <v>100</v>
      </c>
      <c r="V33" s="774" t="s">
        <v>17</v>
      </c>
      <c r="W33" s="775">
        <f t="shared" si="14"/>
        <v>100</v>
      </c>
      <c r="X33" s="1812"/>
      <c r="Y33" s="3193"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3"/>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3"/>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3"/>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2515</v>
      </c>
      <c r="Q39" s="1809" t="str">
        <f t="shared" si="11"/>
        <v>物业管理</v>
      </c>
      <c r="R39" s="774" t="s">
        <v>17</v>
      </c>
      <c r="S39" s="775">
        <f t="shared" si="12"/>
        <v>100</v>
      </c>
      <c r="T39" s="774" t="s">
        <v>17</v>
      </c>
      <c r="U39" s="775">
        <f t="shared" si="13"/>
        <v>100</v>
      </c>
      <c r="V39" s="774" t="s">
        <v>17</v>
      </c>
      <c r="W39" s="775">
        <f t="shared" si="14"/>
        <v>100</v>
      </c>
      <c r="X39" s="1812"/>
      <c r="Y39" s="3193"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3"/>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3"/>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3"/>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3"/>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187" t="str">
        <f>A48</f>
        <v>成交单价（元/平方米）</v>
      </c>
      <c r="Q48" s="3188"/>
      <c r="R48" s="3229">
        <f>E48</f>
        <v>0</v>
      </c>
      <c r="S48" s="3229"/>
      <c r="T48" s="3229">
        <f>G48</f>
        <v>0</v>
      </c>
      <c r="U48" s="3229"/>
      <c r="V48" s="3229">
        <f>I48</f>
        <v>0</v>
      </c>
      <c r="W48" s="3229"/>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8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1"/>
      <c r="Q20" s="1809"/>
      <c r="R20" s="774"/>
      <c r="S20" s="775"/>
      <c r="T20" s="774"/>
      <c r="U20" s="775"/>
      <c r="V20" s="774"/>
      <c r="W20" s="775"/>
      <c r="X20" s="1812"/>
      <c r="Y20" s="3191"/>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1"/>
      <c r="Q24" s="1809"/>
      <c r="R24" s="774"/>
      <c r="S24" s="775"/>
      <c r="T24" s="774"/>
      <c r="U24" s="775"/>
      <c r="V24" s="774"/>
      <c r="W24" s="775"/>
      <c r="X24" s="1812"/>
      <c r="Y24" s="319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9">
        <f>B25</f>
        <v>111</v>
      </c>
      <c r="R25" s="774" t="s">
        <v>17</v>
      </c>
      <c r="S25" s="775">
        <f>F25</f>
        <v>100</v>
      </c>
      <c r="T25" s="774" t="s">
        <v>17</v>
      </c>
      <c r="U25" s="775">
        <f>H25</f>
        <v>100</v>
      </c>
      <c r="V25" s="774" t="s">
        <v>17</v>
      </c>
      <c r="W25" s="775">
        <f>J25</f>
        <v>100</v>
      </c>
      <c r="X25" s="1812"/>
      <c r="Y25" s="319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9">
        <f t="shared" ref="Q26:Q40" si="11">B26</f>
        <v>111</v>
      </c>
      <c r="R26" s="774" t="s">
        <v>17</v>
      </c>
      <c r="S26" s="775">
        <f>F26</f>
        <v>100</v>
      </c>
      <c r="T26" s="774" t="s">
        <v>17</v>
      </c>
      <c r="U26" s="775">
        <f>H26</f>
        <v>100</v>
      </c>
      <c r="V26" s="774" t="s">
        <v>17</v>
      </c>
      <c r="W26" s="775">
        <f>J26</f>
        <v>100</v>
      </c>
      <c r="X26" s="1812"/>
      <c r="Y26" s="319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4">
        <f t="shared" si="11"/>
        <v>111</v>
      </c>
      <c r="R27" s="770" t="s">
        <v>17</v>
      </c>
      <c r="S27" s="771">
        <f>F27</f>
        <v>100</v>
      </c>
      <c r="T27" s="770" t="s">
        <v>17</v>
      </c>
      <c r="U27" s="771">
        <f>H27</f>
        <v>100</v>
      </c>
      <c r="V27" s="770" t="s">
        <v>17</v>
      </c>
      <c r="W27" s="771">
        <f>J27</f>
        <v>100</v>
      </c>
      <c r="X27" s="772"/>
      <c r="Y27" s="319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9">
        <f t="shared" si="11"/>
        <v>111</v>
      </c>
      <c r="R28" s="774" t="s">
        <v>17</v>
      </c>
      <c r="S28" s="775">
        <f t="shared" ref="S28:S40" si="12">F28</f>
        <v>100</v>
      </c>
      <c r="T28" s="774" t="s">
        <v>17</v>
      </c>
      <c r="U28" s="775">
        <f t="shared" ref="U28:U40" si="13">H28</f>
        <v>100</v>
      </c>
      <c r="V28" s="774" t="s">
        <v>17</v>
      </c>
      <c r="W28" s="775">
        <f t="shared" ref="W28:W40" si="14">J28</f>
        <v>100</v>
      </c>
      <c r="X28" s="1812"/>
      <c r="Y28" s="3191"/>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2" t="s">
        <v>2515</v>
      </c>
      <c r="Q29" s="1809" t="str">
        <f t="shared" si="11"/>
        <v>建筑类型</v>
      </c>
      <c r="R29" s="774" t="s">
        <v>17</v>
      </c>
      <c r="S29" s="775">
        <f t="shared" si="12"/>
        <v>100</v>
      </c>
      <c r="T29" s="774" t="s">
        <v>17</v>
      </c>
      <c r="U29" s="775">
        <f t="shared" si="13"/>
        <v>100</v>
      </c>
      <c r="V29" s="774" t="s">
        <v>17</v>
      </c>
      <c r="W29" s="775">
        <f t="shared" si="14"/>
        <v>100</v>
      </c>
      <c r="X29" s="1812"/>
      <c r="Y29" s="3193"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09" t="str">
        <f t="shared" si="11"/>
        <v>建筑结构</v>
      </c>
      <c r="R31" s="774" t="s">
        <v>17</v>
      </c>
      <c r="S31" s="775">
        <f t="shared" si="12"/>
        <v>100</v>
      </c>
      <c r="T31" s="774" t="s">
        <v>17</v>
      </c>
      <c r="U31" s="775">
        <f t="shared" si="13"/>
        <v>100</v>
      </c>
      <c r="V31" s="774" t="s">
        <v>17</v>
      </c>
      <c r="W31" s="775">
        <f t="shared" si="14"/>
        <v>100</v>
      </c>
      <c r="X31" s="1812"/>
      <c r="Y31" s="3193"/>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09" t="str">
        <f t="shared" si="11"/>
        <v>公共部分装修</v>
      </c>
      <c r="R32" s="774" t="s">
        <v>17</v>
      </c>
      <c r="S32" s="775">
        <f t="shared" si="12"/>
        <v>100</v>
      </c>
      <c r="T32" s="774" t="s">
        <v>17</v>
      </c>
      <c r="U32" s="775">
        <f t="shared" si="13"/>
        <v>100</v>
      </c>
      <c r="V32" s="774" t="s">
        <v>17</v>
      </c>
      <c r="W32" s="775">
        <f t="shared" si="14"/>
        <v>100</v>
      </c>
      <c r="X32" s="1812"/>
      <c r="Y32" s="3193"/>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09" t="str">
        <f t="shared" si="11"/>
        <v>成新度</v>
      </c>
      <c r="R33" s="774" t="s">
        <v>17</v>
      </c>
      <c r="S33" s="775" t="e">
        <f t="shared" si="12"/>
        <v>#N/A</v>
      </c>
      <c r="T33" s="774" t="s">
        <v>17</v>
      </c>
      <c r="U33" s="775" t="e">
        <f t="shared" si="13"/>
        <v>#N/A</v>
      </c>
      <c r="V33" s="774" t="s">
        <v>17</v>
      </c>
      <c r="W33" s="775" t="e">
        <f t="shared" si="14"/>
        <v>#N/A</v>
      </c>
      <c r="X33" s="1812"/>
      <c r="Y33" s="3193"/>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4"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2515</v>
      </c>
      <c r="Q35" s="1809" t="str">
        <f t="shared" si="11"/>
        <v>市政基础设施</v>
      </c>
      <c r="R35" s="774" t="s">
        <v>17</v>
      </c>
      <c r="S35" s="775">
        <f t="shared" si="12"/>
        <v>100</v>
      </c>
      <c r="T35" s="774" t="s">
        <v>17</v>
      </c>
      <c r="U35" s="775">
        <f t="shared" si="13"/>
        <v>100</v>
      </c>
      <c r="V35" s="774" t="s">
        <v>17</v>
      </c>
      <c r="W35" s="775">
        <f t="shared" si="14"/>
        <v>100</v>
      </c>
      <c r="X35" s="1812"/>
      <c r="Y35" s="3193"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09" t="str">
        <f t="shared" si="11"/>
        <v>内部装修</v>
      </c>
      <c r="R36" s="774" t="s">
        <v>17</v>
      </c>
      <c r="S36" s="775">
        <f t="shared" si="12"/>
        <v>100</v>
      </c>
      <c r="T36" s="774" t="s">
        <v>17</v>
      </c>
      <c r="U36" s="775">
        <f t="shared" si="13"/>
        <v>100</v>
      </c>
      <c r="V36" s="774" t="s">
        <v>17</v>
      </c>
      <c r="W36" s="775">
        <f t="shared" si="14"/>
        <v>100</v>
      </c>
      <c r="X36" s="1812"/>
      <c r="Y36" s="3193"/>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09" t="str">
        <f t="shared" si="11"/>
        <v>内部装修状况</v>
      </c>
      <c r="R37" s="774" t="s">
        <v>17</v>
      </c>
      <c r="S37" s="775">
        <f t="shared" si="12"/>
        <v>100</v>
      </c>
      <c r="T37" s="774" t="s">
        <v>17</v>
      </c>
      <c r="U37" s="775">
        <f t="shared" si="13"/>
        <v>100</v>
      </c>
      <c r="V37" s="774" t="s">
        <v>17</v>
      </c>
      <c r="W37" s="775">
        <f t="shared" si="14"/>
        <v>100</v>
      </c>
      <c r="X37" s="1812"/>
      <c r="Y37" s="319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09">
        <f t="shared" si="11"/>
        <v>111</v>
      </c>
      <c r="R39" s="774" t="s">
        <v>17</v>
      </c>
      <c r="S39" s="775">
        <f t="shared" si="12"/>
        <v>100</v>
      </c>
      <c r="T39" s="774" t="s">
        <v>17</v>
      </c>
      <c r="U39" s="775">
        <f t="shared" si="13"/>
        <v>100</v>
      </c>
      <c r="V39" s="774" t="s">
        <v>17</v>
      </c>
      <c r="W39" s="775">
        <f t="shared" si="14"/>
        <v>100</v>
      </c>
      <c r="X39" s="1812"/>
      <c r="Y39" s="3193"/>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88" t="str">
        <f>A41</f>
        <v>成交单价（元/平方米）</v>
      </c>
      <c r="Q41" s="3188"/>
      <c r="R41" s="3229">
        <f>E41</f>
        <v>0</v>
      </c>
      <c r="S41" s="3229"/>
      <c r="T41" s="3229">
        <f>G41</f>
        <v>0</v>
      </c>
      <c r="U41" s="3229"/>
      <c r="V41" s="3229">
        <f>I41</f>
        <v>0</v>
      </c>
      <c r="W41" s="3229"/>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1"/>
      <c r="Q15" s="1809"/>
      <c r="R15" s="774"/>
      <c r="S15" s="775"/>
      <c r="T15" s="774"/>
      <c r="U15" s="775"/>
      <c r="V15" s="774"/>
      <c r="W15" s="775"/>
      <c r="X15" s="1812"/>
      <c r="Y15" s="3191"/>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1"/>
      <c r="Q17" s="1809"/>
      <c r="R17" s="774"/>
      <c r="S17" s="775"/>
      <c r="T17" s="774"/>
      <c r="U17" s="775"/>
      <c r="V17" s="774"/>
      <c r="W17" s="775"/>
      <c r="X17" s="1812"/>
      <c r="Y17" s="3191"/>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1"/>
      <c r="Q19" s="1809"/>
      <c r="R19" s="774"/>
      <c r="S19" s="775"/>
      <c r="T19" s="774"/>
      <c r="U19" s="775"/>
      <c r="V19" s="774"/>
      <c r="W19" s="775"/>
      <c r="X19" s="1812"/>
      <c r="Y19" s="3191"/>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1"/>
      <c r="Q21" s="1809"/>
      <c r="R21" s="774"/>
      <c r="S21" s="775"/>
      <c r="T21" s="774"/>
      <c r="U21" s="775"/>
      <c r="V21" s="774"/>
      <c r="W21" s="775"/>
      <c r="X21" s="1812"/>
      <c r="Y21" s="3191"/>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9">
        <f t="shared" ref="Q24:Q36"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2"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3"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09" t="str">
        <f t="shared" si="11"/>
        <v>公共部分装修</v>
      </c>
      <c r="R28" s="774" t="s">
        <v>17</v>
      </c>
      <c r="S28" s="775">
        <f t="shared" si="12"/>
        <v>100</v>
      </c>
      <c r="T28" s="774" t="s">
        <v>17</v>
      </c>
      <c r="U28" s="775">
        <f t="shared" si="13"/>
        <v>100</v>
      </c>
      <c r="V28" s="774" t="s">
        <v>17</v>
      </c>
      <c r="W28" s="775">
        <f t="shared" si="14"/>
        <v>100</v>
      </c>
      <c r="X28" s="1812"/>
      <c r="Y28" s="3193"/>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09" t="str">
        <f t="shared" si="11"/>
        <v>成新率</v>
      </c>
      <c r="R29" s="774" t="s">
        <v>17</v>
      </c>
      <c r="S29" s="775" t="e">
        <f t="shared" si="12"/>
        <v>#N/A</v>
      </c>
      <c r="T29" s="774" t="s">
        <v>17</v>
      </c>
      <c r="U29" s="775" t="e">
        <f t="shared" si="13"/>
        <v>#N/A</v>
      </c>
      <c r="V29" s="774" t="s">
        <v>17</v>
      </c>
      <c r="W29" s="775" t="e">
        <f t="shared" si="14"/>
        <v>#N/A</v>
      </c>
      <c r="X29" s="1812"/>
      <c r="Y29" s="3193"/>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09" t="str">
        <f t="shared" si="11"/>
        <v>物业等级</v>
      </c>
      <c r="R30" s="774" t="s">
        <v>17</v>
      </c>
      <c r="S30" s="775">
        <f t="shared" si="12"/>
        <v>100</v>
      </c>
      <c r="T30" s="774" t="s">
        <v>17</v>
      </c>
      <c r="U30" s="775">
        <f t="shared" si="13"/>
        <v>100</v>
      </c>
      <c r="V30" s="774" t="s">
        <v>17</v>
      </c>
      <c r="W30" s="775">
        <f t="shared" si="14"/>
        <v>100</v>
      </c>
      <c r="X30" s="1812"/>
      <c r="Y30" s="3193"/>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4"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2515</v>
      </c>
      <c r="Q32" s="1809" t="str">
        <f t="shared" si="11"/>
        <v>车位类型</v>
      </c>
      <c r="R32" s="774" t="s">
        <v>17</v>
      </c>
      <c r="S32" s="775">
        <f t="shared" si="12"/>
        <v>100</v>
      </c>
      <c r="T32" s="774" t="s">
        <v>17</v>
      </c>
      <c r="U32" s="775">
        <f t="shared" si="13"/>
        <v>100</v>
      </c>
      <c r="V32" s="774" t="s">
        <v>17</v>
      </c>
      <c r="W32" s="775">
        <f t="shared" si="14"/>
        <v>100</v>
      </c>
      <c r="X32" s="1812"/>
      <c r="Y32" s="3193"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09" t="str">
        <f t="shared" si="11"/>
        <v>是否直接入户</v>
      </c>
      <c r="R33" s="774" t="s">
        <v>17</v>
      </c>
      <c r="S33" s="775">
        <f t="shared" si="12"/>
        <v>100</v>
      </c>
      <c r="T33" s="774" t="s">
        <v>17</v>
      </c>
      <c r="U33" s="775">
        <f t="shared" si="13"/>
        <v>100</v>
      </c>
      <c r="V33" s="774" t="s">
        <v>17</v>
      </c>
      <c r="W33" s="775">
        <f t="shared" si="14"/>
        <v>100</v>
      </c>
      <c r="X33" s="1812"/>
      <c r="Y33" s="319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09">
        <f t="shared" si="11"/>
        <v>111</v>
      </c>
      <c r="R36" s="774" t="s">
        <v>17</v>
      </c>
      <c r="S36" s="775">
        <f t="shared" si="12"/>
        <v>100</v>
      </c>
      <c r="T36" s="774" t="s">
        <v>17</v>
      </c>
      <c r="U36" s="775">
        <f t="shared" si="13"/>
        <v>100</v>
      </c>
      <c r="V36" s="774" t="s">
        <v>17</v>
      </c>
      <c r="W36" s="775">
        <f t="shared" si="14"/>
        <v>100</v>
      </c>
      <c r="X36" s="1812"/>
      <c r="Y36" s="3193"/>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88" t="str">
        <f>A37</f>
        <v>成交单价</v>
      </c>
      <c r="Q37" s="3188"/>
      <c r="R37" s="3229">
        <f>E37</f>
        <v>0</v>
      </c>
      <c r="S37" s="3229"/>
      <c r="T37" s="3229">
        <f>G37</f>
        <v>0</v>
      </c>
      <c r="U37" s="3229"/>
      <c r="V37" s="3229">
        <f>I37</f>
        <v>0</v>
      </c>
      <c r="W37" s="3229"/>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1"/>
      <c r="Q15" s="1809"/>
      <c r="R15" s="774"/>
      <c r="S15" s="775"/>
      <c r="T15" s="774"/>
      <c r="U15" s="775"/>
      <c r="V15" s="774"/>
      <c r="W15" s="775"/>
      <c r="X15" s="1812"/>
      <c r="Y15" s="3191"/>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1"/>
      <c r="Q17" s="1809"/>
      <c r="R17" s="774"/>
      <c r="S17" s="775"/>
      <c r="T17" s="774"/>
      <c r="U17" s="775"/>
      <c r="V17" s="774"/>
      <c r="W17" s="775"/>
      <c r="X17" s="1812"/>
      <c r="Y17" s="3191"/>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1"/>
      <c r="Q19" s="1809"/>
      <c r="R19" s="774"/>
      <c r="S19" s="775"/>
      <c r="T19" s="774"/>
      <c r="U19" s="775"/>
      <c r="V19" s="774"/>
      <c r="W19" s="775"/>
      <c r="X19" s="1812"/>
      <c r="Y19" s="3191"/>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1"/>
      <c r="Q21" s="1809"/>
      <c r="R21" s="774"/>
      <c r="S21" s="775"/>
      <c r="T21" s="774"/>
      <c r="U21" s="775"/>
      <c r="V21" s="774"/>
      <c r="W21" s="775"/>
      <c r="X21" s="1812"/>
      <c r="Y21" s="3191"/>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9">
        <f t="shared" ref="Q24:Q34"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2"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3"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09" t="str">
        <f t="shared" si="11"/>
        <v>物业等级</v>
      </c>
      <c r="R28" s="774" t="s">
        <v>17</v>
      </c>
      <c r="S28" s="775">
        <f t="shared" si="12"/>
        <v>100</v>
      </c>
      <c r="T28" s="774" t="s">
        <v>17</v>
      </c>
      <c r="U28" s="775">
        <f t="shared" si="13"/>
        <v>100</v>
      </c>
      <c r="V28" s="774" t="s">
        <v>17</v>
      </c>
      <c r="W28" s="775">
        <f t="shared" si="14"/>
        <v>100</v>
      </c>
      <c r="X28" s="1812"/>
      <c r="Y28" s="3193"/>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09" t="str">
        <f t="shared" si="11"/>
        <v>有无电梯</v>
      </c>
      <c r="R29" s="774" t="s">
        <v>17</v>
      </c>
      <c r="S29" s="775">
        <f t="shared" si="12"/>
        <v>100</v>
      </c>
      <c r="T29" s="774" t="s">
        <v>17</v>
      </c>
      <c r="U29" s="775">
        <f t="shared" si="13"/>
        <v>100</v>
      </c>
      <c r="V29" s="774" t="s">
        <v>17</v>
      </c>
      <c r="W29" s="775">
        <f t="shared" si="14"/>
        <v>100</v>
      </c>
      <c r="X29" s="1812"/>
      <c r="Y29" s="3193"/>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09" t="str">
        <f t="shared" si="11"/>
        <v>建筑面积</v>
      </c>
      <c r="R30" s="774" t="s">
        <v>17</v>
      </c>
      <c r="S30" s="775" t="e">
        <f t="shared" si="12"/>
        <v>#N/A</v>
      </c>
      <c r="T30" s="774" t="s">
        <v>17</v>
      </c>
      <c r="U30" s="775" t="e">
        <f t="shared" si="13"/>
        <v>#N/A</v>
      </c>
      <c r="V30" s="774" t="s">
        <v>17</v>
      </c>
      <c r="W30" s="775" t="e">
        <f t="shared" si="14"/>
        <v>#N/A</v>
      </c>
      <c r="X30" s="1812"/>
      <c r="Y30" s="3193"/>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4"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2515</v>
      </c>
      <c r="Q32" s="1809">
        <f t="shared" si="11"/>
        <v>111</v>
      </c>
      <c r="R32" s="774" t="s">
        <v>17</v>
      </c>
      <c r="S32" s="775">
        <f t="shared" si="12"/>
        <v>100</v>
      </c>
      <c r="T32" s="774" t="s">
        <v>17</v>
      </c>
      <c r="U32" s="775">
        <f t="shared" si="13"/>
        <v>100</v>
      </c>
      <c r="V32" s="774" t="s">
        <v>17</v>
      </c>
      <c r="W32" s="775">
        <f t="shared" si="14"/>
        <v>100</v>
      </c>
      <c r="X32" s="1812"/>
      <c r="Y32" s="3193"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09">
        <f t="shared" si="11"/>
        <v>111</v>
      </c>
      <c r="R33" s="774" t="s">
        <v>17</v>
      </c>
      <c r="S33" s="775">
        <f t="shared" si="12"/>
        <v>100</v>
      </c>
      <c r="T33" s="774" t="s">
        <v>17</v>
      </c>
      <c r="U33" s="775">
        <f t="shared" si="13"/>
        <v>100</v>
      </c>
      <c r="V33" s="774" t="s">
        <v>17</v>
      </c>
      <c r="W33" s="775">
        <f t="shared" si="14"/>
        <v>100</v>
      </c>
      <c r="X33" s="1812"/>
      <c r="Y33" s="3193"/>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88" t="str">
        <f>A35</f>
        <v>成交单价（元/平方米）</v>
      </c>
      <c r="Q35" s="3188"/>
      <c r="R35" s="3229">
        <f>E35</f>
        <v>0</v>
      </c>
      <c r="S35" s="3229"/>
      <c r="T35" s="3229">
        <f>G35</f>
        <v>0</v>
      </c>
      <c r="U35" s="3229"/>
      <c r="V35" s="3229">
        <f>I35</f>
        <v>0</v>
      </c>
      <c r="W35" s="3229"/>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80" t="s">
        <v>2744</v>
      </c>
      <c r="D6" s="3281"/>
      <c r="E6" s="3282" t="s">
        <v>2744</v>
      </c>
      <c r="F6" s="3283"/>
      <c r="G6" s="3280" t="s">
        <v>2744</v>
      </c>
      <c r="H6" s="3281"/>
      <c r="I6" s="3280" t="s">
        <v>2744</v>
      </c>
      <c r="J6" s="3281"/>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9" t="str">
        <f t="shared" ref="Q19:Q33" si="8">B19</f>
        <v>区域土地利用方向</v>
      </c>
      <c r="R19" s="774" t="s">
        <v>17</v>
      </c>
      <c r="S19" s="775">
        <f>F19</f>
        <v>100</v>
      </c>
      <c r="T19" s="774" t="s">
        <v>17</v>
      </c>
      <c r="U19" s="775">
        <f>H19</f>
        <v>100</v>
      </c>
      <c r="V19" s="774" t="s">
        <v>17</v>
      </c>
      <c r="W19" s="775">
        <f>J19</f>
        <v>100</v>
      </c>
      <c r="X19" s="1812"/>
      <c r="Y19" s="319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91"/>
      <c r="Q20" s="1809"/>
      <c r="R20" s="774"/>
      <c r="S20" s="775"/>
      <c r="T20" s="774"/>
      <c r="U20" s="775"/>
      <c r="V20" s="774"/>
      <c r="W20" s="775"/>
      <c r="X20" s="1812"/>
      <c r="Y20" s="3191"/>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9" t="str">
        <f t="shared" si="8"/>
        <v>环境状况</v>
      </c>
      <c r="R21" s="774" t="s">
        <v>17</v>
      </c>
      <c r="S21" s="775">
        <f>F21</f>
        <v>100</v>
      </c>
      <c r="T21" s="774" t="s">
        <v>17</v>
      </c>
      <c r="U21" s="775">
        <f>H21</f>
        <v>100</v>
      </c>
      <c r="V21" s="774" t="s">
        <v>17</v>
      </c>
      <c r="W21" s="775">
        <f>J21</f>
        <v>100</v>
      </c>
      <c r="X21" s="1812"/>
      <c r="Y21" s="319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4" t="str">
        <f t="shared" si="8"/>
        <v>公共配套设施</v>
      </c>
      <c r="R23" s="770" t="s">
        <v>17</v>
      </c>
      <c r="S23" s="771">
        <f>F23</f>
        <v>100</v>
      </c>
      <c r="T23" s="770" t="s">
        <v>17</v>
      </c>
      <c r="U23" s="771">
        <f>H23</f>
        <v>100</v>
      </c>
      <c r="V23" s="770" t="s">
        <v>17</v>
      </c>
      <c r="W23" s="771">
        <f>J23</f>
        <v>100</v>
      </c>
      <c r="X23" s="772"/>
      <c r="Y23" s="319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1"/>
      <c r="Q24" s="1794"/>
      <c r="R24" s="770"/>
      <c r="S24" s="771"/>
      <c r="T24" s="770"/>
      <c r="U24" s="771"/>
      <c r="V24" s="770"/>
      <c r="W24" s="771"/>
      <c r="X24" s="772"/>
      <c r="Y24" s="3191"/>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4"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1"/>
      <c r="Q26" s="1794"/>
      <c r="R26" s="770"/>
      <c r="S26" s="771"/>
      <c r="T26" s="770"/>
      <c r="U26" s="771"/>
      <c r="V26" s="770"/>
      <c r="W26" s="771"/>
      <c r="X26" s="772"/>
      <c r="Y26" s="3191"/>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1"/>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9" t="str">
        <f t="shared" si="8"/>
        <v>毗邻道路的类型与等级</v>
      </c>
      <c r="R28" s="774" t="s">
        <v>17</v>
      </c>
      <c r="S28" s="775">
        <f t="shared" si="10"/>
        <v>100</v>
      </c>
      <c r="T28" s="774" t="s">
        <v>17</v>
      </c>
      <c r="U28" s="775">
        <f t="shared" si="11"/>
        <v>100</v>
      </c>
      <c r="V28" s="774" t="s">
        <v>17</v>
      </c>
      <c r="W28" s="775">
        <f t="shared" si="12"/>
        <v>100</v>
      </c>
      <c r="X28" s="1812"/>
      <c r="Y28" s="319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1"/>
      <c r="Q29" s="1809"/>
      <c r="R29" s="774"/>
      <c r="S29" s="775"/>
      <c r="T29" s="774"/>
      <c r="U29" s="775"/>
      <c r="V29" s="774"/>
      <c r="W29" s="775"/>
      <c r="X29" s="1812"/>
      <c r="Y29" s="3191"/>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9" t="str">
        <f t="shared" si="8"/>
        <v>土地级别</v>
      </c>
      <c r="R30" s="774" t="s">
        <v>17</v>
      </c>
      <c r="S30" s="775">
        <f t="shared" si="10"/>
        <v>100</v>
      </c>
      <c r="T30" s="774" t="s">
        <v>17</v>
      </c>
      <c r="U30" s="775">
        <f t="shared" si="11"/>
        <v>100</v>
      </c>
      <c r="V30" s="774" t="s">
        <v>17</v>
      </c>
      <c r="W30" s="775">
        <f t="shared" si="12"/>
        <v>100</v>
      </c>
      <c r="X30" s="1812"/>
      <c r="Y30" s="319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9">
        <f t="shared" si="8"/>
        <v>111</v>
      </c>
      <c r="R31" s="774" t="s">
        <v>17</v>
      </c>
      <c r="S31" s="775">
        <f t="shared" si="10"/>
        <v>100</v>
      </c>
      <c r="T31" s="774" t="s">
        <v>17</v>
      </c>
      <c r="U31" s="775">
        <f t="shared" si="11"/>
        <v>100</v>
      </c>
      <c r="V31" s="774" t="s">
        <v>17</v>
      </c>
      <c r="W31" s="775">
        <f t="shared" si="12"/>
        <v>100</v>
      </c>
      <c r="X31" s="1812"/>
      <c r="Y31" s="319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2" t="s">
        <v>2515</v>
      </c>
      <c r="Q32" s="1809">
        <f t="shared" si="8"/>
        <v>111</v>
      </c>
      <c r="R32" s="774" t="s">
        <v>17</v>
      </c>
      <c r="S32" s="775">
        <f t="shared" si="10"/>
        <v>100</v>
      </c>
      <c r="T32" s="774" t="s">
        <v>17</v>
      </c>
      <c r="U32" s="775">
        <f t="shared" si="11"/>
        <v>100</v>
      </c>
      <c r="V32" s="774" t="s">
        <v>17</v>
      </c>
      <c r="W32" s="775">
        <f t="shared" si="12"/>
        <v>100</v>
      </c>
      <c r="X32" s="1812"/>
      <c r="Y32" s="3193"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09">
        <f t="shared" si="8"/>
        <v>111</v>
      </c>
      <c r="R33" s="777" t="s">
        <v>17</v>
      </c>
      <c r="S33" s="778">
        <f t="shared" si="10"/>
        <v>100</v>
      </c>
      <c r="T33" s="777" t="s">
        <v>17</v>
      </c>
      <c r="U33" s="778">
        <f t="shared" si="11"/>
        <v>100</v>
      </c>
      <c r="V33" s="777" t="s">
        <v>17</v>
      </c>
      <c r="W33" s="778">
        <f t="shared" si="12"/>
        <v>100</v>
      </c>
      <c r="X33" s="779"/>
      <c r="Y33" s="3193"/>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09" t="str">
        <f>B34</f>
        <v>宗地面积</v>
      </c>
      <c r="R34" s="774" t="s">
        <v>17</v>
      </c>
      <c r="S34" s="775" t="e">
        <f t="shared" si="10"/>
        <v>#N/A</v>
      </c>
      <c r="T34" s="774" t="s">
        <v>17</v>
      </c>
      <c r="U34" s="775" t="e">
        <f t="shared" si="11"/>
        <v>#N/A</v>
      </c>
      <c r="V34" s="774" t="s">
        <v>17</v>
      </c>
      <c r="W34" s="775" t="e">
        <f t="shared" si="12"/>
        <v>#N/A</v>
      </c>
      <c r="X34" s="1812"/>
      <c r="Y34" s="3193"/>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3"/>
      <c r="Q35" s="1809" t="str">
        <f t="shared" ref="Q35:Q40" si="14">B35</f>
        <v>宗地形状</v>
      </c>
      <c r="R35" s="774" t="s">
        <v>17</v>
      </c>
      <c r="S35" s="775">
        <f t="shared" si="10"/>
        <v>100</v>
      </c>
      <c r="T35" s="774" t="s">
        <v>17</v>
      </c>
      <c r="U35" s="775">
        <f t="shared" si="11"/>
        <v>100</v>
      </c>
      <c r="V35" s="774" t="s">
        <v>17</v>
      </c>
      <c r="W35" s="775">
        <f t="shared" si="12"/>
        <v>100</v>
      </c>
      <c r="X35" s="1812"/>
      <c r="Y35" s="3193"/>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3"/>
      <c r="Q36" s="1809"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3" t="s">
        <v>2515</v>
      </c>
      <c r="Q37" s="1809" t="str">
        <f t="shared" si="14"/>
        <v>工程地质条件</v>
      </c>
      <c r="R37" s="774" t="s">
        <v>17</v>
      </c>
      <c r="S37" s="775">
        <f t="shared" si="10"/>
        <v>100</v>
      </c>
      <c r="T37" s="774" t="s">
        <v>17</v>
      </c>
      <c r="U37" s="775">
        <f t="shared" si="11"/>
        <v>100</v>
      </c>
      <c r="V37" s="774" t="s">
        <v>17</v>
      </c>
      <c r="W37" s="775">
        <f t="shared" si="12"/>
        <v>100</v>
      </c>
      <c r="X37" s="1812"/>
      <c r="Y37" s="3193"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09">
        <f t="shared" si="14"/>
        <v>111</v>
      </c>
      <c r="R38" s="774" t="s">
        <v>17</v>
      </c>
      <c r="S38" s="775">
        <f t="shared" si="10"/>
        <v>100</v>
      </c>
      <c r="T38" s="774" t="s">
        <v>17</v>
      </c>
      <c r="U38" s="775">
        <f t="shared" si="11"/>
        <v>100</v>
      </c>
      <c r="V38" s="774" t="s">
        <v>17</v>
      </c>
      <c r="W38" s="775">
        <f t="shared" si="12"/>
        <v>100</v>
      </c>
      <c r="X38" s="1812"/>
      <c r="Y38" s="319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09">
        <f t="shared" si="14"/>
        <v>111</v>
      </c>
      <c r="R39" s="774" t="s">
        <v>17</v>
      </c>
      <c r="S39" s="775">
        <f t="shared" si="10"/>
        <v>100</v>
      </c>
      <c r="T39" s="774" t="s">
        <v>17</v>
      </c>
      <c r="U39" s="775">
        <f t="shared" si="11"/>
        <v>100</v>
      </c>
      <c r="V39" s="774" t="s">
        <v>17</v>
      </c>
      <c r="W39" s="775">
        <f t="shared" si="12"/>
        <v>100</v>
      </c>
      <c r="X39" s="1812"/>
      <c r="Y39" s="3193"/>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09">
        <f t="shared" si="14"/>
        <v>111</v>
      </c>
      <c r="R40" s="777" t="s">
        <v>17</v>
      </c>
      <c r="S40" s="778">
        <f t="shared" si="10"/>
        <v>100</v>
      </c>
      <c r="T40" s="777" t="s">
        <v>17</v>
      </c>
      <c r="U40" s="778">
        <f t="shared" si="11"/>
        <v>100</v>
      </c>
      <c r="V40" s="777" t="s">
        <v>17</v>
      </c>
      <c r="W40" s="778">
        <f t="shared" si="12"/>
        <v>100</v>
      </c>
      <c r="X40" s="779"/>
      <c r="Y40" s="3193"/>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88" t="str">
        <f>A41</f>
        <v>成交单价</v>
      </c>
      <c r="Q41" s="3188"/>
      <c r="R41" s="3194">
        <f>E41</f>
        <v>0</v>
      </c>
      <c r="S41" s="3194"/>
      <c r="T41" s="3194">
        <f>G41</f>
        <v>0</v>
      </c>
      <c r="U41" s="3194"/>
      <c r="V41" s="3194">
        <f>I41</f>
        <v>0</v>
      </c>
      <c r="W41" s="3194"/>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185" t="s">
        <v>2711</v>
      </c>
      <c r="H50" s="3186"/>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187"/>
      <c r="H51" s="3188"/>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9"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9"/>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9"/>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9"/>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1"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92"/>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2787</v>
      </c>
      <c r="X8" s="3285"/>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92"/>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5" thickBot="1">
      <c r="A12" s="3291"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293"/>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4"/>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1"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2"/>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1"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2"/>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2"/>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3"/>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5" t="s">
        <v>2921</v>
      </c>
      <c r="B90" s="3295"/>
      <c r="C90" s="3295"/>
      <c r="D90" s="3295"/>
      <c r="E90" s="3295"/>
      <c r="F90" s="3295"/>
      <c r="G90" s="3295"/>
      <c r="H90" s="3295"/>
      <c r="I90" s="3295"/>
      <c r="J90" s="3295"/>
      <c r="K90" s="2891"/>
      <c r="L90" s="2891"/>
      <c r="M90" s="2891"/>
      <c r="N90" s="2891"/>
    </row>
    <row r="91" spans="1:37">
      <c r="A91" s="3297" t="s">
        <v>2922</v>
      </c>
      <c r="B91" s="3297" t="s">
        <v>2923</v>
      </c>
      <c r="C91" s="2845" t="s">
        <v>2924</v>
      </c>
      <c r="D91" s="2846"/>
      <c r="E91" s="2846"/>
      <c r="F91" s="2846"/>
      <c r="G91" s="2846"/>
      <c r="H91" s="2846"/>
      <c r="I91" s="2846"/>
      <c r="J91" s="2892"/>
      <c r="K91" s="2893"/>
      <c r="L91" s="2893"/>
      <c r="M91" s="2893"/>
      <c r="N91" s="2893"/>
    </row>
    <row r="92" spans="1:37">
      <c r="A92" s="3297"/>
      <c r="B92" s="3297"/>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8"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9"/>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8"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9"/>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9"/>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9"/>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9"/>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9"/>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9"/>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9"/>
      <c r="B108" s="3154"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0"/>
      <c r="B109" s="3155"/>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96" t="s">
        <v>2929</v>
      </c>
      <c r="B110" s="3296"/>
      <c r="C110" s="3296"/>
      <c r="D110" s="3296"/>
      <c r="E110" s="3296"/>
      <c r="F110" s="3296"/>
      <c r="G110" s="3296"/>
      <c r="H110" s="3296"/>
      <c r="I110" s="3296"/>
      <c r="J110" s="3296"/>
      <c r="K110" s="2900"/>
      <c r="L110" s="2900"/>
      <c r="M110" s="2900"/>
      <c r="N110" s="2900"/>
    </row>
    <row r="112" spans="1:14" ht="13.5" thickBot="1"/>
    <row r="113" spans="1:13" ht="25.5"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5"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0" t="s">
        <v>1142</v>
      </c>
      <c r="C1" s="3310"/>
      <c r="D1" s="3310"/>
      <c r="E1" s="3310"/>
      <c r="F1" s="3310"/>
      <c r="G1" s="3309" t="s">
        <v>1143</v>
      </c>
      <c r="H1" s="3309"/>
      <c r="I1" s="3309"/>
      <c r="J1" s="3309"/>
      <c r="K1" s="3309"/>
      <c r="L1" s="3309"/>
      <c r="N1" s="3309" t="s">
        <v>1144</v>
      </c>
      <c r="O1" s="3309"/>
      <c r="P1" s="3309"/>
      <c r="Q1" s="3309"/>
      <c r="R1" s="1446"/>
      <c r="S1" s="3309" t="s">
        <v>1145</v>
      </c>
      <c r="T1" s="3309"/>
      <c r="U1" s="3309"/>
      <c r="V1" s="3309"/>
      <c r="X1" s="3308" t="s">
        <v>1146</v>
      </c>
      <c r="Y1" s="3309"/>
      <c r="Z1" s="3309"/>
      <c r="AA1" s="3309"/>
      <c r="AB1" s="3309"/>
      <c r="AD1" s="3308" t="s">
        <v>1147</v>
      </c>
      <c r="AE1" s="3309"/>
      <c r="AF1" s="3309"/>
      <c r="AG1" s="3309"/>
      <c r="AH1" s="3309"/>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6">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6"/>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6"/>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6"/>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6"/>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6"/>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6"/>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7"/>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5">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6"/>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6"/>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7"/>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5">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6"/>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6"/>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7"/>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5">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6"/>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6"/>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7"/>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5">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6">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6">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7">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5">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6">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6">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7">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5">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6">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6">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7">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5">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6">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6">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7">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5">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6">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6">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7">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5">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6">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6">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7">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5">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6">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6">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7">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5">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6">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6">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7">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5">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6">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6">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7">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5">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6">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6">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7">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1622</v>
      </c>
      <c r="C4" s="2999"/>
      <c r="D4" s="2999"/>
      <c r="E4" s="1960"/>
    </row>
    <row r="5" spans="1:5" ht="16.5" thickTop="1">
      <c r="A5" s="1958"/>
      <c r="B5" s="2997" t="s">
        <v>1614</v>
      </c>
      <c r="C5" s="1961" t="s">
        <v>1615</v>
      </c>
      <c r="D5" s="1040">
        <f ca="1">结果表!H101</f>
        <v>54986</v>
      </c>
      <c r="E5" s="1958"/>
    </row>
    <row r="6" spans="1:5" ht="15.75">
      <c r="A6" s="1958"/>
      <c r="B6" s="2997"/>
      <c r="C6" s="1961" t="s">
        <v>1616</v>
      </c>
      <c r="D6" s="1040" t="str">
        <f ca="1">NUMBERSTRING(INT(D5*10000),2)&amp;"元整"</f>
        <v>伍亿肆仟玖佰捌拾陆万元整</v>
      </c>
      <c r="E6" s="1958"/>
    </row>
    <row r="7" spans="1:5" ht="15.75">
      <c r="A7" s="1958"/>
      <c r="B7" s="3002"/>
      <c r="C7" s="1962" t="s">
        <v>1617</v>
      </c>
      <c r="D7" s="1041">
        <f ca="1">结果表!H102</f>
        <v>3466</v>
      </c>
      <c r="E7" s="1958"/>
    </row>
    <row r="8" spans="1:5" ht="15.75">
      <c r="A8" s="1958"/>
      <c r="B8" s="3003" t="str">
        <f>结果表!E103</f>
        <v>2.估价师知悉的法定优先受偿款</v>
      </c>
      <c r="C8" s="1963" t="s">
        <v>1618</v>
      </c>
      <c r="D8" s="1041">
        <f>结果表!H103</f>
        <v>0</v>
      </c>
      <c r="E8" s="1958"/>
    </row>
    <row r="9" spans="1:5" ht="15.75">
      <c r="A9" s="1958"/>
      <c r="B9" s="3005"/>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6" t="str">
        <f>结果表!E107</f>
        <v>3.房地产抵押价值</v>
      </c>
      <c r="C13" s="1966" t="s">
        <v>1615</v>
      </c>
      <c r="D13" s="1043">
        <f ca="1">结果表!H107</f>
        <v>54986</v>
      </c>
      <c r="E13" s="1958"/>
    </row>
    <row r="14" spans="1:5" ht="15.75">
      <c r="A14" s="1958"/>
      <c r="B14" s="2997"/>
      <c r="C14" s="1961" t="s">
        <v>1616</v>
      </c>
      <c r="D14" s="1040" t="str">
        <f ca="1">NUMBERSTRING(INT(D13*10000),2)&amp;"元整"</f>
        <v>伍亿肆仟玖佰捌拾陆万元整</v>
      </c>
      <c r="E14" s="1958"/>
    </row>
    <row r="15" spans="1:5" ht="15">
      <c r="A15" s="1958"/>
      <c r="B15" s="3002"/>
      <c r="C15" s="1962" t="s">
        <v>1626</v>
      </c>
      <c r="D15" s="1052">
        <f ca="1">结果表!H108</f>
        <v>3466</v>
      </c>
      <c r="E15" s="1958"/>
    </row>
    <row r="16" spans="1:5" ht="15">
      <c r="A16" s="1958"/>
      <c r="B16" s="3003" t="str">
        <f>结果表!E109</f>
        <v>——</v>
      </c>
      <c r="C16" s="1966" t="s">
        <v>1627</v>
      </c>
      <c r="D16" s="1967" t="str">
        <f>结果表!H109</f>
        <v>——</v>
      </c>
      <c r="E16" s="1958"/>
    </row>
    <row r="17" spans="1:5" ht="15.75">
      <c r="A17" s="1958"/>
      <c r="B17" s="3004"/>
      <c r="C17" s="1961" t="s">
        <v>1628</v>
      </c>
      <c r="D17" s="1040" t="e">
        <f>NUMBERSTRING(INT(D16*10000),2)&amp;"元整"</f>
        <v>#VALUE!</v>
      </c>
      <c r="E17" s="1958"/>
    </row>
    <row r="18" spans="1:5" ht="15">
      <c r="A18" s="1958"/>
      <c r="B18" s="3005"/>
      <c r="C18" s="1962" t="s">
        <v>1617</v>
      </c>
      <c r="D18" s="1052" t="str">
        <f>结果表!H110</f>
        <v>——</v>
      </c>
      <c r="E18" s="1958"/>
    </row>
    <row r="19" spans="1:5" ht="15.75">
      <c r="A19" s="1958"/>
      <c r="B19" s="2996" t="str">
        <f>结果表!E111</f>
        <v>——</v>
      </c>
      <c r="C19" s="1966" t="s">
        <v>1615</v>
      </c>
      <c r="D19" s="1041" t="str">
        <f>结果表!H111</f>
        <v>——</v>
      </c>
      <c r="E19" s="1958"/>
    </row>
    <row r="20" spans="1:5" ht="15.75">
      <c r="A20" s="1958"/>
      <c r="B20" s="2997"/>
      <c r="C20" s="1961" t="s">
        <v>1628</v>
      </c>
      <c r="D20" s="1040" t="e">
        <f>NUMBERSTRING(INT(D19*10000),2)&amp;"元整"</f>
        <v>#VALUE!</v>
      </c>
      <c r="E20" s="1958"/>
    </row>
    <row r="21" spans="1:5" ht="15.75" thickBot="1">
      <c r="A21" s="1958"/>
      <c r="B21" s="299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6" t="s">
        <v>33</v>
      </c>
      <c r="D22" s="3177"/>
      <c r="E22" s="3177"/>
      <c r="F22" s="3177"/>
      <c r="G22" s="3177"/>
      <c r="H22" s="3177"/>
      <c r="I22" s="3177"/>
      <c r="J22" s="3177"/>
      <c r="K22" s="3177"/>
      <c r="L22" s="3177"/>
      <c r="M22" s="3177"/>
      <c r="N22" s="3177"/>
      <c r="O22" s="3177"/>
      <c r="P22" s="317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39185</v>
      </c>
      <c r="C2" s="2" t="s">
        <v>133</v>
      </c>
      <c r="D2" s="243"/>
      <c r="E2" s="243"/>
      <c r="F2" s="243"/>
      <c r="G2" s="243"/>
    </row>
    <row r="3" spans="1:7" s="244" customFormat="1" ht="18" customHeight="1" thickBot="1">
      <c r="A3" s="247" t="s">
        <v>85</v>
      </c>
      <c r="B3" s="248">
        <f ca="1">ROUND(B2*10000/'数据-汇总表'!E3,0)</f>
        <v>2470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8997</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8090</v>
      </c>
      <c r="D34" s="261"/>
      <c r="E34" s="264"/>
      <c r="F34" s="301">
        <f>IF('数据-取费表'!B24=0,1,'数据-取费表'!N16)</f>
        <v>0.16</v>
      </c>
      <c r="G34" s="263" t="s">
        <v>116</v>
      </c>
    </row>
    <row r="35" spans="1:7" ht="13.5" customHeight="1">
      <c r="A35" s="951" t="s">
        <v>795</v>
      </c>
      <c r="B35" s="259" t="s">
        <v>60</v>
      </c>
      <c r="C35" s="264">
        <f>ROUND(C34*F35,0)</f>
        <v>405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381</v>
      </c>
      <c r="D37" s="261">
        <f>'数据-汇总表'!E3</f>
        <v>158663.65</v>
      </c>
      <c r="E37" s="293">
        <f>'数据-取费表'!B35</f>
        <v>150</v>
      </c>
      <c r="F37" s="303"/>
      <c r="G37" s="305" t="s">
        <v>119</v>
      </c>
    </row>
    <row r="38" spans="1:7" ht="13.5" customHeight="1">
      <c r="A38" s="951" t="s">
        <v>798</v>
      </c>
      <c r="B38" s="259" t="s">
        <v>63</v>
      </c>
      <c r="C38" s="264">
        <f>ROUND(C34*F38,0)</f>
        <v>121</v>
      </c>
      <c r="D38" s="264"/>
      <c r="E38" s="264"/>
      <c r="F38" s="303">
        <f>'数据-取费表'!B36</f>
        <v>1.4999999999999999E-2</v>
      </c>
      <c r="G38" s="263" t="s">
        <v>117</v>
      </c>
    </row>
    <row r="39" spans="1:7" s="258" customFormat="1" ht="13.5" customHeight="1">
      <c r="A39" s="948" t="s">
        <v>782</v>
      </c>
      <c r="B39" s="254" t="s">
        <v>104</v>
      </c>
      <c r="C39" s="276">
        <f>ROUND(C33*F20,0)</f>
        <v>90</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171</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169</v>
      </c>
      <c r="D42" s="282"/>
      <c r="E42" s="282"/>
      <c r="F42" s="283"/>
      <c r="G42" s="3225" t="s">
        <v>121</v>
      </c>
    </row>
    <row r="43" spans="1:7" ht="13.5" customHeight="1">
      <c r="A43" s="951" t="s">
        <v>791</v>
      </c>
      <c r="B43" s="259" t="s">
        <v>1060</v>
      </c>
      <c r="C43" s="282">
        <f ca="1">ROUND(IF('数据-取费表'!B22&lt;=1,C39*F22*'数据-取费表'!B21/2,C39*(POWER((1+F22),'数据-取费表'!B21/2)-1)),0)</f>
        <v>2</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1817</v>
      </c>
      <c r="D45" s="279">
        <f>C47</f>
        <v>2E-3</v>
      </c>
      <c r="E45" s="280" t="s">
        <v>129</v>
      </c>
      <c r="F45" s="290"/>
      <c r="G45" s="291" t="s">
        <v>1068</v>
      </c>
    </row>
    <row r="46" spans="1:7" s="258" customFormat="1" ht="13.5" customHeight="1">
      <c r="A46" s="951" t="s">
        <v>793</v>
      </c>
      <c r="B46" s="292" t="s">
        <v>1061</v>
      </c>
      <c r="C46" s="293">
        <f>ROUND((C33+C39)*F27,0)</f>
        <v>1817</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11852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11852</v>
      </c>
      <c r="D51" s="276"/>
      <c r="E51" s="276"/>
      <c r="F51" s="308"/>
      <c r="G51" s="278" t="s">
        <v>64</v>
      </c>
    </row>
    <row r="52" spans="1:7" s="252" customFormat="1" ht="16.5" thickBot="1">
      <c r="A52" s="309" t="s">
        <v>65</v>
      </c>
      <c r="B52" s="310"/>
      <c r="C52" s="311">
        <f ca="1">C31+C51</f>
        <v>39185</v>
      </c>
      <c r="D52" s="310"/>
      <c r="E52" s="310"/>
      <c r="F52" s="310"/>
      <c r="G52" s="312"/>
    </row>
    <row r="55" spans="1:7" ht="15">
      <c r="B55" s="314" t="s">
        <v>66</v>
      </c>
      <c r="C55" s="315"/>
    </row>
    <row r="56" spans="1:7">
      <c r="B56" s="317" t="s">
        <v>67</v>
      </c>
      <c r="C56" s="318">
        <f ca="1">ROUND(C51/C52,3)</f>
        <v>0.30199999999999999</v>
      </c>
    </row>
    <row r="57" spans="1:7">
      <c r="B57" s="317" t="s">
        <v>68</v>
      </c>
      <c r="C57" s="319">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867</v>
      </c>
      <c r="B1" s="332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5"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75"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5"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5"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5" thickBot="1">
      <c r="A70" s="1173"/>
      <c r="B70" s="1174"/>
      <c r="C70" s="355"/>
      <c r="D70" s="1185"/>
      <c r="E70" s="1169" t="s">
        <v>1469</v>
      </c>
      <c r="F70" s="1275"/>
      <c r="O70" s="1893" t="s">
        <v>1045</v>
      </c>
      <c r="P70" s="1933" t="s">
        <v>1577</v>
      </c>
      <c r="Q70" s="1885">
        <f ca="1">C13</f>
        <v>2325</v>
      </c>
      <c r="R70" s="1885" t="s">
        <v>1521</v>
      </c>
    </row>
    <row r="71" spans="1:18" s="1841" customFormat="1" ht="13.5"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1633</v>
      </c>
      <c r="B2" s="3016" t="s">
        <v>1634</v>
      </c>
      <c r="C2" s="3016" t="s">
        <v>1635</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39040</v>
      </c>
      <c r="E4" s="1044">
        <f ca="1">结果表!E118</f>
        <v>2461</v>
      </c>
      <c r="F4" s="1044">
        <f ca="1">结果表!F118</f>
        <v>15946</v>
      </c>
      <c r="G4" s="1044">
        <f ca="1">结果表!G118</f>
        <v>1005</v>
      </c>
      <c r="H4" s="1044">
        <f ca="1">结果表!H118</f>
        <v>54986</v>
      </c>
      <c r="I4" s="1044">
        <f ca="1">结果表!I118</f>
        <v>3466</v>
      </c>
    </row>
    <row r="5" spans="1:9" ht="30" customHeight="1">
      <c r="A5" s="3010" t="s">
        <v>1632</v>
      </c>
      <c r="B5" s="3010"/>
      <c r="C5" s="3010"/>
      <c r="D5" s="3011" t="str">
        <f ca="1">结果表!D119</f>
        <v>叁亿玖仟零肆拾万元整</v>
      </c>
      <c r="E5" s="3011"/>
      <c r="F5" s="3011" t="str">
        <f ca="1">结果表!F119</f>
        <v>壹亿伍仟玖佰肆拾陆万元整</v>
      </c>
      <c r="G5" s="3011"/>
      <c r="H5" s="3011" t="str">
        <f ca="1">结果表!H119</f>
        <v>伍亿肆仟玖佰捌拾陆万元整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1632</v>
      </c>
      <c r="B7" s="3010"/>
      <c r="C7" s="3010"/>
      <c r="D7" s="3012" t="str">
        <f>结果表!D121</f>
        <v>零元整</v>
      </c>
      <c r="E7" s="3013"/>
      <c r="F7" s="3013"/>
      <c r="G7" s="3013"/>
      <c r="H7" s="3013"/>
      <c r="I7" s="3014"/>
    </row>
    <row r="8" spans="1:9" ht="15.75">
      <c r="A8" s="3009" t="str">
        <f>结果表!A122</f>
        <v>房地产抵押价值</v>
      </c>
      <c r="B8" s="3009"/>
      <c r="C8" s="3009"/>
      <c r="D8" s="3009">
        <f ca="1">结果表!D122</f>
        <v>54986</v>
      </c>
      <c r="E8" s="3009"/>
      <c r="F8" s="3009"/>
      <c r="G8" s="3009"/>
      <c r="H8" s="3009"/>
      <c r="I8" s="3009"/>
    </row>
    <row r="9" spans="1:9" ht="15">
      <c r="A9" s="3010" t="s">
        <v>1632</v>
      </c>
      <c r="B9" s="3010"/>
      <c r="C9" s="3010"/>
      <c r="D9" s="3011" t="str">
        <f ca="1">结果表!D123</f>
        <v>伍亿肆仟玖佰捌拾陆万元整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1632</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3" t="s">
        <v>1654</v>
      </c>
      <c r="B1" s="3023"/>
      <c r="C1" s="3023"/>
      <c r="D1" s="3023"/>
    </row>
    <row r="2" spans="1:4" ht="18">
      <c r="A2" s="3024" t="s">
        <v>1638</v>
      </c>
      <c r="B2" s="3024"/>
      <c r="C2" s="3024"/>
      <c r="D2" s="3024"/>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24" t="s">
        <v>1644</v>
      </c>
      <c r="B6" s="3024"/>
      <c r="C6" s="3024"/>
      <c r="D6" s="3024"/>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5" t="s">
        <v>1647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v>
      </c>
      <c r="B15" s="3017"/>
      <c r="C15" s="3017"/>
      <c r="D15" s="3017"/>
    </row>
    <row r="16" spans="1:4" ht="30" customHeight="1">
      <c r="A16" s="3019" t="s">
        <v>1648</v>
      </c>
      <c r="B16" s="3019"/>
      <c r="C16" s="3019"/>
      <c r="D16" s="3019"/>
    </row>
    <row r="17" spans="1:4" ht="144" customHeight="1">
      <c r="A17" s="3019" t="s">
        <v>1649</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1" t="s">
        <v>1661</v>
      </c>
      <c r="B15" s="3026" t="s">
        <v>136</v>
      </c>
      <c r="C15" s="3027"/>
    </row>
    <row r="16" spans="1:7" ht="13.5">
      <c r="A16" s="3032"/>
      <c r="B16" s="3026" t="s">
        <v>69</v>
      </c>
      <c r="C16" s="3027"/>
    </row>
    <row r="17" spans="1:3" ht="13.5">
      <c r="A17" s="3032"/>
      <c r="B17" s="3029" t="s">
        <v>1662</v>
      </c>
      <c r="C17" s="1999" t="s">
        <v>1661</v>
      </c>
    </row>
    <row r="18" spans="1:3" ht="13.5">
      <c r="A18" s="3032"/>
      <c r="B18" s="3029"/>
      <c r="C18" s="1999" t="s">
        <v>1663</v>
      </c>
    </row>
    <row r="19" spans="1:3" ht="13.5">
      <c r="A19" s="3032"/>
      <c r="B19" s="3029"/>
      <c r="C19" s="1999" t="s">
        <v>1664</v>
      </c>
    </row>
    <row r="20" spans="1:3" ht="13.5">
      <c r="A20" s="3033"/>
      <c r="B20" s="3028" t="s">
        <v>1665</v>
      </c>
      <c r="C20" s="3027"/>
    </row>
    <row r="21" spans="1:3" ht="13.5">
      <c r="A21" s="2000" t="s">
        <v>1666</v>
      </c>
      <c r="B21" s="2001"/>
      <c r="C21" s="2002"/>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9" t="s">
        <v>1672</v>
      </c>
    </row>
    <row r="26" spans="1:3" ht="13.5">
      <c r="A26" s="3030"/>
      <c r="B26" s="3029"/>
      <c r="C26" s="1999" t="s">
        <v>1673</v>
      </c>
    </row>
    <row r="27" spans="1:3" ht="13.5">
      <c r="A27" s="3030"/>
      <c r="B27" s="3029"/>
      <c r="C27" s="1999" t="s">
        <v>1674</v>
      </c>
    </row>
    <row r="28" spans="1:3" ht="13.5">
      <c r="A28" s="3030"/>
      <c r="B28" s="3029"/>
      <c r="C28" s="1999" t="s">
        <v>1675</v>
      </c>
    </row>
    <row r="29" spans="1:3" ht="13.5">
      <c r="A29" s="3030"/>
      <c r="B29" s="3029"/>
      <c r="C29" s="1999" t="s">
        <v>1676</v>
      </c>
    </row>
    <row r="30" spans="1:3" ht="13.5">
      <c r="A30" s="3030"/>
      <c r="B30" s="3029"/>
      <c r="C30" s="1999" t="s">
        <v>1677</v>
      </c>
    </row>
    <row r="31" spans="1:3" ht="13.5">
      <c r="A31" s="3030"/>
      <c r="B31" s="3029"/>
      <c r="C31" s="1999" t="s">
        <v>1678</v>
      </c>
    </row>
    <row r="32" spans="1:3" ht="13.5">
      <c r="A32" s="3030"/>
      <c r="B32" s="3029"/>
      <c r="C32" s="1999" t="s">
        <v>1679</v>
      </c>
    </row>
    <row r="33" spans="1:3" ht="13.5">
      <c r="A33" s="3030"/>
      <c r="B33" s="302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2019-07-01T09:18:27Z</dcterms:modified>
</cp:coreProperties>
</file>